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st1" sheetId="1" r:id="rId1"/>
    <sheet name="List2" sheetId="2" r:id="rId2"/>
    <sheet name="List3" sheetId="3" r:id="rId3"/>
  </sheets>
  <definedNames>
    <definedName name="Excel_BuiltIn_Print_Area_11">'List1'!$A$1:$O$80</definedName>
    <definedName name="_xlnm.Print_Area" localSheetId="0">'List1'!$A$1:$R$79</definedName>
  </definedNames>
  <calcPr fullCalcOnLoad="1"/>
</workbook>
</file>

<file path=xl/sharedStrings.xml><?xml version="1.0" encoding="utf-8"?>
<sst xmlns="http://schemas.openxmlformats.org/spreadsheetml/2006/main" count="85" uniqueCount="77">
  <si>
    <t>skutečnost v r. 2005</t>
  </si>
  <si>
    <t>FMP administrace</t>
  </si>
  <si>
    <t>kancelář EL</t>
  </si>
  <si>
    <t>celkem 2009</t>
  </si>
  <si>
    <t>sekretariát EL</t>
  </si>
  <si>
    <t>sektretariát fmp</t>
  </si>
  <si>
    <t>administrace</t>
  </si>
  <si>
    <t>1. Příjmy 2011</t>
  </si>
  <si>
    <t xml:space="preserve">1.1 neivestiční přijaté dotace od obcí - 4121 </t>
  </si>
  <si>
    <t xml:space="preserve">1.1.1 členské příspěvky </t>
  </si>
  <si>
    <t>1.4 přijaté nekápitálové přísp. a náhrady - 6171 2324</t>
  </si>
  <si>
    <t>1.5 příjmy z prodeje zboží - 6171 2112</t>
  </si>
  <si>
    <t xml:space="preserve">1.6 příjmy z úroků - 6310 2141 </t>
  </si>
  <si>
    <t>1.7 příjmy z poskytování služeb a výrobků - 6171 2111</t>
  </si>
  <si>
    <t>jedná se o příjem ze saské strany EEL; podíl spolufinancování projektu KUKA, poskytnuté konzultace a  poradenství</t>
  </si>
  <si>
    <t>PŘÍJMY  CELKEM</t>
  </si>
  <si>
    <t>2. Výdaje  2011</t>
  </si>
  <si>
    <t>sekretariát</t>
  </si>
  <si>
    <t>2.1.1 platy zaměstnanců - 6171 5011</t>
  </si>
  <si>
    <t>2.1.2 sociální pojistění - 6171 5031</t>
  </si>
  <si>
    <t>2.1.3 zdravotní pojištění - 6171 5032</t>
  </si>
  <si>
    <t>2.1.4 pojištění povinné - 6171 5038</t>
  </si>
  <si>
    <t>2.2.2 služby telekomunikací - 6171 5162</t>
  </si>
  <si>
    <t>Kulturní a sportovní kal., kul.pasy, kancelářské potřeby</t>
  </si>
  <si>
    <t>2.2.4 knihy, učební pomůcky, tisk - 6171 5136</t>
  </si>
  <si>
    <t>2.2.5 drobný hmotný dlouhodobý majetek - 6171 5137</t>
  </si>
  <si>
    <t>2.2.7 služby zpracování dat, mezd - 6171 5168</t>
  </si>
  <si>
    <t>2.2.8 nákup ostatních služeb - 6171 5169</t>
  </si>
  <si>
    <t xml:space="preserve">2.2.8.1 www stránky aktualizace, doména </t>
  </si>
  <si>
    <t>2.2.8.2 audit hospodaření EL</t>
  </si>
  <si>
    <t>2.2.8.3 stravenky</t>
  </si>
  <si>
    <t>2.2.8.4 kancelář FMP - úklid kanceláře</t>
  </si>
  <si>
    <t>2.2.8.5 projekt FMP Kultturní a sport. Kalendář EEL</t>
  </si>
  <si>
    <t>2.2.9 nájemné kanceláře FMP - 6171 5164</t>
  </si>
  <si>
    <t>2.2.11 programové vybavení - 6171 5172</t>
  </si>
  <si>
    <t>(pojištění organizace)</t>
  </si>
  <si>
    <t>VÝDAJE CELKEM</t>
  </si>
  <si>
    <t>(k 31.12.2008)</t>
  </si>
  <si>
    <t>(k 31.12.2010)</t>
  </si>
  <si>
    <t>Rezerva rozpočtu: viz komentář</t>
  </si>
  <si>
    <t>Komentář k čerpání finančních prostředků z rezervy rozpočtu</t>
  </si>
  <si>
    <t>Z rezervy rozpočtu mohou být dle platných stanov (čl. VII. Bod 7.4) hrazeny náklady nebo být uzavírány</t>
  </si>
  <si>
    <t>smlouvy s předmětem plnění o ceně vyšší než 50 000,- Kč. V tomto případě jednají jménem předseda</t>
  </si>
  <si>
    <t>Komentář k čerpání finančních prostředků ze zůstatku z minulého účetního období</t>
  </si>
  <si>
    <t>Se zůstatkem z minulého účetního období je možno disponovat v souladu se stanovami takto:</t>
  </si>
  <si>
    <t>nebo místopředsedové EL. S tímto výdajem bude vždy seznámena Rada EL na nejbližším</t>
  </si>
  <si>
    <t>zasedání.</t>
  </si>
  <si>
    <t>členské příspěvky tvoří polovinu příjmů, podle závěrů Sněmu EL z roku 2010 vycházíme ze 2,50/osobu a počtu obyvatel EL</t>
  </si>
  <si>
    <t>v této položce jsou příjmy EL za administraci a KUKA a projekt workshop ZZS - platba z roku 2010</t>
  </si>
  <si>
    <t>1.8 převody z rozpočtových účtů - 4134</t>
  </si>
  <si>
    <t>1.9 zapojení hosp. výsledku z minulých let</t>
  </si>
  <si>
    <t>1.2 neinvestiční převody ze zahraničí - 4159</t>
  </si>
  <si>
    <t xml:space="preserve">1.3  ostatní neinvestiční přijaté transfery ze státního rozpočtu - 4116 </t>
  </si>
  <si>
    <t>celkem 2010</t>
  </si>
  <si>
    <t>celkem 2011</t>
  </si>
  <si>
    <t xml:space="preserve">2.1 náklady na pracovníky sekretariátu </t>
  </si>
  <si>
    <t xml:space="preserve">2.2 náklady na chod kanceláře   </t>
  </si>
  <si>
    <t xml:space="preserve">2.2.1 služby pošt - 6171 5161 </t>
  </si>
  <si>
    <t>2.2.3 nákup materiálu - 6171 5139</t>
  </si>
  <si>
    <t xml:space="preserve">2.2.6 služby peněžních ústavů - 6310 5163 </t>
  </si>
  <si>
    <t>2.2.10 údržba a opravy - 6171 5171</t>
  </si>
  <si>
    <t xml:space="preserve">2.2.12 cestovné tuzemské a zahraniční - 6112 5173 </t>
  </si>
  <si>
    <t>2.2.13 pohoštění - 6171 5175</t>
  </si>
  <si>
    <t>jedná se o občerstvení při zasedáních EL (Rada, Prezídium, pracovní skupiny apod.)</t>
  </si>
  <si>
    <t>2.3 platby daní a poplatků  - 6171 5362</t>
  </si>
  <si>
    <t>a ředitel společně, a jejich jednání musí být odsouhlaseno usnesením Rady EL v předmětné věci.</t>
  </si>
  <si>
    <t xml:space="preserve">jakákoliv částka k úhradě musí být podepsána min. 2 podpisy a to: ředitel a předseda Rady EL </t>
  </si>
  <si>
    <t>Rozdíl</t>
  </si>
  <si>
    <t xml:space="preserve">Příjmy celkem </t>
  </si>
  <si>
    <t>Výdaje celkem</t>
  </si>
  <si>
    <t>Souhrn:</t>
  </si>
  <si>
    <t xml:space="preserve">celkem 2010 </t>
  </si>
  <si>
    <t>jedná se o dotaci na administraci SFMP ze státního rozpočtu ve formě 15% z celkové částky administrace SFMP</t>
  </si>
  <si>
    <t>celkem 4 zaměstnanci na plný uvazek: 2 osoby pracují v sekretariátu SFMP, jejich mzdy jsou hrazeny z projektu SFMP Cíl 3 a jedna osoba zpracovává učetnictví (DPČ)</t>
  </si>
  <si>
    <t>EL - finanční zdroj - rozpočtová rezerva - k 31.12.</t>
  </si>
  <si>
    <t xml:space="preserve">  Návrh rozpočtu Euroregionu Labe na rok 2011 </t>
  </si>
  <si>
    <t xml:space="preserve">sekretariát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</si>
</sst>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&quot; Kč&quot;"/>
    <numFmt numFmtId="166" formatCode="#,##0.00\ [$Kč-405];[Red]\-#,##0.00\ [$Kč-405]"/>
    <numFmt numFmtId="167" formatCode="_-* #,##0.00&quot; Kč&quot;_-;\-* #,##0.00&quot; Kč&quot;_-;_-* \-??&quot; Kč&quot;_-;_-@_-"/>
    <numFmt numFmtId="168" formatCode="#,##0.00_ ;\-#,##0.00\ "/>
  </numFmts>
  <fonts count="20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 CE"/>
      <family val="2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color indexed="9"/>
      <name val="Times New Roman"/>
      <family val="1"/>
    </font>
    <font>
      <sz val="11"/>
      <name val="Times New Roman"/>
      <family val="1"/>
    </font>
    <font>
      <b/>
      <sz val="16"/>
      <color indexed="9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5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2" borderId="1" xfId="0" applyNumberFormat="1" applyFont="1" applyFill="1" applyBorder="1" applyAlignment="1">
      <alignment/>
    </xf>
    <xf numFmtId="165" fontId="2" fillId="3" borderId="2" xfId="0" applyNumberFormat="1" applyFont="1" applyFill="1" applyBorder="1" applyAlignment="1">
      <alignment/>
    </xf>
    <xf numFmtId="0" fontId="2" fillId="4" borderId="2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6" fontId="2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Fill="1" applyAlignment="1">
      <alignment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8" fontId="2" fillId="0" borderId="0" xfId="17" applyNumberFormat="1" applyFont="1" applyFill="1" applyBorder="1" applyAlignment="1" applyProtection="1">
      <alignment horizontal="right"/>
      <protection/>
    </xf>
    <xf numFmtId="166" fontId="2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5" borderId="0" xfId="0" applyFont="1" applyFill="1" applyAlignment="1">
      <alignment/>
    </xf>
    <xf numFmtId="164" fontId="2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5" xfId="0" applyFont="1" applyBorder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5" borderId="0" xfId="0" applyFont="1" applyFill="1" applyAlignment="1">
      <alignment/>
    </xf>
    <xf numFmtId="0" fontId="3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 indent="2"/>
    </xf>
    <xf numFmtId="0" fontId="13" fillId="0" borderId="6" xfId="0" applyFont="1" applyBorder="1" applyAlignment="1">
      <alignment horizontal="left" vertical="top" wrapText="1" indent="2"/>
    </xf>
    <xf numFmtId="0" fontId="13" fillId="0" borderId="7" xfId="0" applyFont="1" applyBorder="1" applyAlignment="1">
      <alignment horizontal="left" vertical="top" wrapText="1" indent="2"/>
    </xf>
    <xf numFmtId="0" fontId="13" fillId="0" borderId="8" xfId="0" applyFont="1" applyBorder="1" applyAlignment="1">
      <alignment horizontal="left" vertical="top" wrapText="1" indent="2"/>
    </xf>
    <xf numFmtId="0" fontId="0" fillId="0" borderId="0" xfId="0" applyNumberFormat="1" applyAlignment="1">
      <alignment/>
    </xf>
    <xf numFmtId="0" fontId="13" fillId="0" borderId="9" xfId="0" applyFont="1" applyBorder="1" applyAlignment="1">
      <alignment horizontal="right" wrapText="1" indent="2"/>
    </xf>
    <xf numFmtId="164" fontId="2" fillId="2" borderId="10" xfId="0" applyNumberFormat="1" applyFont="1" applyFill="1" applyBorder="1" applyAlignment="1">
      <alignment/>
    </xf>
    <xf numFmtId="165" fontId="3" fillId="3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6" fillId="0" borderId="12" xfId="0" applyFont="1" applyBorder="1" applyAlignment="1">
      <alignment/>
    </xf>
    <xf numFmtId="168" fontId="3" fillId="0" borderId="12" xfId="17" applyNumberFormat="1" applyFont="1" applyFill="1" applyBorder="1" applyAlignment="1" applyProtection="1">
      <alignment horizontal="right"/>
      <protection/>
    </xf>
    <xf numFmtId="4" fontId="6" fillId="0" borderId="12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2" borderId="12" xfId="0" applyNumberFormat="1" applyFont="1" applyFill="1" applyBorder="1" applyAlignment="1">
      <alignment/>
    </xf>
    <xf numFmtId="165" fontId="2" fillId="3" borderId="12" xfId="0" applyNumberFormat="1" applyFont="1" applyFill="1" applyBorder="1" applyAlignment="1">
      <alignment/>
    </xf>
    <xf numFmtId="165" fontId="2" fillId="6" borderId="12" xfId="0" applyNumberFormat="1" applyFont="1" applyFill="1" applyBorder="1" applyAlignment="1">
      <alignment/>
    </xf>
    <xf numFmtId="166" fontId="2" fillId="7" borderId="12" xfId="0" applyNumberFormat="1" applyFont="1" applyFill="1" applyBorder="1" applyAlignment="1">
      <alignment/>
    </xf>
    <xf numFmtId="166" fontId="2" fillId="8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168" fontId="2" fillId="0" borderId="12" xfId="17" applyNumberFormat="1" applyFont="1" applyFill="1" applyBorder="1" applyAlignment="1" applyProtection="1">
      <alignment horizontal="right"/>
      <protection/>
    </xf>
    <xf numFmtId="165" fontId="2" fillId="0" borderId="12" xfId="0" applyNumberFormat="1" applyFont="1" applyBorder="1" applyAlignment="1">
      <alignment/>
    </xf>
    <xf numFmtId="165" fontId="2" fillId="2" borderId="12" xfId="0" applyNumberFormat="1" applyFont="1" applyFill="1" applyBorder="1" applyAlignment="1">
      <alignment/>
    </xf>
    <xf numFmtId="165" fontId="2" fillId="4" borderId="12" xfId="0" applyNumberFormat="1" applyFont="1" applyFill="1" applyBorder="1" applyAlignment="1">
      <alignment/>
    </xf>
    <xf numFmtId="165" fontId="7" fillId="6" borderId="12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168" fontId="7" fillId="0" borderId="12" xfId="17" applyNumberFormat="1" applyFont="1" applyFill="1" applyBorder="1" applyAlignment="1" applyProtection="1">
      <alignment horizontal="right"/>
      <protection/>
    </xf>
    <xf numFmtId="4" fontId="7" fillId="0" borderId="12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165" fontId="7" fillId="0" borderId="12" xfId="0" applyNumberFormat="1" applyFont="1" applyBorder="1" applyAlignment="1">
      <alignment/>
    </xf>
    <xf numFmtId="165" fontId="7" fillId="2" borderId="12" xfId="0" applyNumberFormat="1" applyFont="1" applyFill="1" applyBorder="1" applyAlignment="1">
      <alignment/>
    </xf>
    <xf numFmtId="165" fontId="7" fillId="3" borderId="12" xfId="0" applyNumberFormat="1" applyFont="1" applyFill="1" applyBorder="1" applyAlignment="1">
      <alignment/>
    </xf>
    <xf numFmtId="166" fontId="7" fillId="7" borderId="12" xfId="0" applyNumberFormat="1" applyFont="1" applyFill="1" applyBorder="1" applyAlignment="1">
      <alignment/>
    </xf>
    <xf numFmtId="166" fontId="7" fillId="8" borderId="12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14" fontId="3" fillId="0" borderId="12" xfId="0" applyNumberFormat="1" applyFont="1" applyFill="1" applyBorder="1" applyAlignment="1">
      <alignment wrapText="1"/>
    </xf>
    <xf numFmtId="14" fontId="8" fillId="0" borderId="12" xfId="0" applyNumberFormat="1" applyFont="1" applyFill="1" applyBorder="1" applyAlignment="1">
      <alignment wrapText="1"/>
    </xf>
    <xf numFmtId="0" fontId="6" fillId="0" borderId="12" xfId="0" applyFont="1" applyBorder="1" applyAlignment="1">
      <alignment/>
    </xf>
    <xf numFmtId="4" fontId="6" fillId="0" borderId="12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65" fontId="2" fillId="2" borderId="12" xfId="0" applyNumberFormat="1" applyFont="1" applyFill="1" applyBorder="1" applyAlignment="1">
      <alignment/>
    </xf>
    <xf numFmtId="165" fontId="2" fillId="3" borderId="12" xfId="0" applyNumberFormat="1" applyFont="1" applyFill="1" applyBorder="1" applyAlignment="1">
      <alignment/>
    </xf>
    <xf numFmtId="165" fontId="7" fillId="6" borderId="12" xfId="0" applyNumberFormat="1" applyFont="1" applyFill="1" applyBorder="1" applyAlignment="1">
      <alignment/>
    </xf>
    <xf numFmtId="166" fontId="2" fillId="7" borderId="12" xfId="0" applyNumberFormat="1" applyFont="1" applyFill="1" applyBorder="1" applyAlignment="1">
      <alignment/>
    </xf>
    <xf numFmtId="166" fontId="2" fillId="8" borderId="12" xfId="0" applyNumberFormat="1" applyFont="1" applyFill="1" applyBorder="1" applyAlignment="1">
      <alignment/>
    </xf>
    <xf numFmtId="165" fontId="8" fillId="3" borderId="12" xfId="0" applyNumberFormat="1" applyFont="1" applyFill="1" applyBorder="1" applyAlignment="1">
      <alignment/>
    </xf>
    <xf numFmtId="14" fontId="2" fillId="0" borderId="12" xfId="0" applyNumberFormat="1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5" fillId="0" borderId="0" xfId="17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6" fillId="0" borderId="13" xfId="0" applyFont="1" applyBorder="1" applyAlignment="1">
      <alignment/>
    </xf>
    <xf numFmtId="168" fontId="3" fillId="0" borderId="13" xfId="17" applyNumberFormat="1" applyFont="1" applyFill="1" applyBorder="1" applyAlignment="1" applyProtection="1">
      <alignment horizontal="right"/>
      <protection/>
    </xf>
    <xf numFmtId="4" fontId="6" fillId="0" borderId="13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2" borderId="13" xfId="0" applyNumberFormat="1" applyFont="1" applyFill="1" applyBorder="1" applyAlignment="1">
      <alignment/>
    </xf>
    <xf numFmtId="165" fontId="2" fillId="3" borderId="13" xfId="0" applyNumberFormat="1" applyFont="1" applyFill="1" applyBorder="1" applyAlignment="1">
      <alignment/>
    </xf>
    <xf numFmtId="0" fontId="2" fillId="4" borderId="13" xfId="0" applyFont="1" applyFill="1" applyBorder="1" applyAlignment="1">
      <alignment/>
    </xf>
    <xf numFmtId="165" fontId="2" fillId="6" borderId="13" xfId="0" applyNumberFormat="1" applyFont="1" applyFill="1" applyBorder="1" applyAlignment="1">
      <alignment/>
    </xf>
    <xf numFmtId="166" fontId="2" fillId="7" borderId="13" xfId="0" applyNumberFormat="1" applyFont="1" applyFill="1" applyBorder="1" applyAlignment="1">
      <alignment/>
    </xf>
    <xf numFmtId="166" fontId="2" fillId="8" borderId="13" xfId="0" applyNumberFormat="1" applyFont="1" applyFill="1" applyBorder="1" applyAlignment="1">
      <alignment/>
    </xf>
    <xf numFmtId="0" fontId="6" fillId="9" borderId="14" xfId="0" applyFont="1" applyFill="1" applyBorder="1" applyAlignment="1">
      <alignment/>
    </xf>
    <xf numFmtId="168" fontId="2" fillId="9" borderId="14" xfId="17" applyNumberFormat="1" applyFont="1" applyFill="1" applyBorder="1" applyAlignment="1" applyProtection="1">
      <alignment horizontal="right"/>
      <protection/>
    </xf>
    <xf numFmtId="4" fontId="6" fillId="9" borderId="14" xfId="0" applyNumberFormat="1" applyFont="1" applyFill="1" applyBorder="1" applyAlignment="1">
      <alignment/>
    </xf>
    <xf numFmtId="164" fontId="2" fillId="9" borderId="14" xfId="0" applyNumberFormat="1" applyFont="1" applyFill="1" applyBorder="1" applyAlignment="1">
      <alignment/>
    </xf>
    <xf numFmtId="165" fontId="2" fillId="9" borderId="14" xfId="0" applyNumberFormat="1" applyFont="1" applyFill="1" applyBorder="1" applyAlignment="1">
      <alignment/>
    </xf>
    <xf numFmtId="164" fontId="2" fillId="9" borderId="15" xfId="0" applyNumberFormat="1" applyFont="1" applyFill="1" applyBorder="1" applyAlignment="1">
      <alignment/>
    </xf>
    <xf numFmtId="165" fontId="2" fillId="9" borderId="16" xfId="0" applyNumberFormat="1" applyFont="1" applyFill="1" applyBorder="1" applyAlignment="1">
      <alignment/>
    </xf>
    <xf numFmtId="0" fontId="2" fillId="9" borderId="16" xfId="0" applyFont="1" applyFill="1" applyBorder="1" applyAlignment="1">
      <alignment/>
    </xf>
    <xf numFmtId="166" fontId="2" fillId="9" borderId="14" xfId="0" applyNumberFormat="1" applyFont="1" applyFill="1" applyBorder="1" applyAlignment="1">
      <alignment/>
    </xf>
    <xf numFmtId="166" fontId="2" fillId="9" borderId="17" xfId="0" applyNumberFormat="1" applyFont="1" applyFill="1" applyBorder="1" applyAlignment="1">
      <alignment/>
    </xf>
    <xf numFmtId="165" fontId="2" fillId="3" borderId="10" xfId="0" applyNumberFormat="1" applyFont="1" applyFill="1" applyBorder="1" applyAlignment="1">
      <alignment/>
    </xf>
    <xf numFmtId="165" fontId="2" fillId="4" borderId="18" xfId="0" applyNumberFormat="1" applyFont="1" applyFill="1" applyBorder="1" applyAlignment="1">
      <alignment/>
    </xf>
    <xf numFmtId="165" fontId="2" fillId="6" borderId="18" xfId="0" applyNumberFormat="1" applyFont="1" applyFill="1" applyBorder="1" applyAlignment="1">
      <alignment/>
    </xf>
    <xf numFmtId="166" fontId="2" fillId="7" borderId="18" xfId="0" applyNumberFormat="1" applyFont="1" applyFill="1" applyBorder="1" applyAlignment="1">
      <alignment/>
    </xf>
    <xf numFmtId="166" fontId="2" fillId="8" borderId="18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4" fontId="4" fillId="0" borderId="12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5" fontId="3" fillId="2" borderId="12" xfId="0" applyNumberFormat="1" applyFont="1" applyFill="1" applyBorder="1" applyAlignment="1">
      <alignment/>
    </xf>
    <xf numFmtId="166" fontId="3" fillId="8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0" fontId="2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168" fontId="2" fillId="0" borderId="12" xfId="17" applyNumberFormat="1" applyFont="1" applyFill="1" applyBorder="1" applyAlignment="1" applyProtection="1">
      <alignment horizontal="left" vertical="center" wrapText="1"/>
      <protection/>
    </xf>
    <xf numFmtId="164" fontId="2" fillId="0" borderId="12" xfId="0" applyNumberFormat="1" applyFont="1" applyBorder="1" applyAlignment="1">
      <alignment horizontal="left" vertical="center" wrapText="1"/>
    </xf>
    <xf numFmtId="165" fontId="2" fillId="0" borderId="12" xfId="0" applyNumberFormat="1" applyFont="1" applyBorder="1" applyAlignment="1">
      <alignment horizontal="left" vertical="center" wrapText="1"/>
    </xf>
    <xf numFmtId="164" fontId="2" fillId="2" borderId="12" xfId="0" applyNumberFormat="1" applyFont="1" applyFill="1" applyBorder="1" applyAlignment="1">
      <alignment horizontal="left" vertical="center" wrapText="1"/>
    </xf>
    <xf numFmtId="165" fontId="2" fillId="3" borderId="12" xfId="0" applyNumberFormat="1" applyFont="1" applyFill="1" applyBorder="1" applyAlignment="1">
      <alignment horizontal="center" vertical="center" wrapText="1"/>
    </xf>
    <xf numFmtId="166" fontId="2" fillId="8" borderId="12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left" wrapText="1"/>
    </xf>
    <xf numFmtId="0" fontId="2" fillId="0" borderId="12" xfId="0" applyFont="1" applyFill="1" applyBorder="1" applyAlignment="1">
      <alignment/>
    </xf>
    <xf numFmtId="0" fontId="7" fillId="0" borderId="12" xfId="0" applyFont="1" applyBorder="1" applyAlignment="1">
      <alignment horizontal="left"/>
    </xf>
    <xf numFmtId="165" fontId="3" fillId="3" borderId="12" xfId="0" applyNumberFormat="1" applyFont="1" applyFill="1" applyBorder="1" applyAlignment="1">
      <alignment/>
    </xf>
    <xf numFmtId="168" fontId="6" fillId="0" borderId="12" xfId="17" applyNumberFormat="1" applyFont="1" applyFill="1" applyBorder="1" applyAlignment="1" applyProtection="1">
      <alignment horizontal="right"/>
      <protection/>
    </xf>
    <xf numFmtId="165" fontId="6" fillId="0" borderId="12" xfId="0" applyNumberFormat="1" applyFont="1" applyBorder="1" applyAlignment="1">
      <alignment/>
    </xf>
    <xf numFmtId="165" fontId="6" fillId="2" borderId="12" xfId="0" applyNumberFormat="1" applyFont="1" applyFill="1" applyBorder="1" applyAlignment="1">
      <alignment/>
    </xf>
    <xf numFmtId="165" fontId="6" fillId="3" borderId="12" xfId="0" applyNumberFormat="1" applyFont="1" applyFill="1" applyBorder="1" applyAlignment="1">
      <alignment/>
    </xf>
    <xf numFmtId="166" fontId="6" fillId="8" borderId="12" xfId="0" applyNumberFormat="1" applyFont="1" applyFill="1" applyBorder="1" applyAlignment="1">
      <alignment/>
    </xf>
    <xf numFmtId="0" fontId="5" fillId="0" borderId="12" xfId="17" applyNumberFormat="1" applyFont="1" applyFill="1" applyBorder="1" applyAlignment="1" applyProtection="1">
      <alignment horizontal="center"/>
      <protection/>
    </xf>
    <xf numFmtId="165" fontId="9" fillId="0" borderId="0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168" fontId="9" fillId="0" borderId="0" xfId="17" applyNumberFormat="1" applyFont="1" applyFill="1" applyBorder="1" applyAlignment="1" applyProtection="1">
      <alignment horizontal="center"/>
      <protection/>
    </xf>
    <xf numFmtId="4" fontId="11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166" fontId="3" fillId="0" borderId="13" xfId="0" applyNumberFormat="1" applyFont="1" applyFill="1" applyBorder="1" applyAlignment="1">
      <alignment horizontal="center"/>
    </xf>
    <xf numFmtId="0" fontId="11" fillId="9" borderId="14" xfId="0" applyFont="1" applyFill="1" applyBorder="1" applyAlignment="1">
      <alignment/>
    </xf>
    <xf numFmtId="168" fontId="9" fillId="9" borderId="14" xfId="17" applyNumberFormat="1" applyFont="1" applyFill="1" applyBorder="1" applyAlignment="1" applyProtection="1">
      <alignment horizontal="right"/>
      <protection/>
    </xf>
    <xf numFmtId="4" fontId="11" fillId="9" borderId="14" xfId="0" applyNumberFormat="1" applyFont="1" applyFill="1" applyBorder="1" applyAlignment="1">
      <alignment/>
    </xf>
    <xf numFmtId="164" fontId="9" fillId="9" borderId="14" xfId="0" applyNumberFormat="1" applyFont="1" applyFill="1" applyBorder="1" applyAlignment="1">
      <alignment/>
    </xf>
    <xf numFmtId="165" fontId="9" fillId="9" borderId="14" xfId="0" applyNumberFormat="1" applyFont="1" applyFill="1" applyBorder="1" applyAlignment="1">
      <alignment/>
    </xf>
    <xf numFmtId="0" fontId="10" fillId="9" borderId="14" xfId="0" applyNumberFormat="1" applyFont="1" applyFill="1" applyBorder="1" applyAlignment="1">
      <alignment horizontal="center"/>
    </xf>
    <xf numFmtId="0" fontId="10" fillId="9" borderId="15" xfId="0" applyNumberFormat="1" applyFont="1" applyFill="1" applyBorder="1" applyAlignment="1">
      <alignment horizontal="center"/>
    </xf>
    <xf numFmtId="165" fontId="3" fillId="9" borderId="16" xfId="0" applyNumberFormat="1" applyFont="1" applyFill="1" applyBorder="1" applyAlignment="1">
      <alignment/>
    </xf>
    <xf numFmtId="166" fontId="9" fillId="9" borderId="14" xfId="0" applyNumberFormat="1" applyFont="1" applyFill="1" applyBorder="1" applyAlignment="1">
      <alignment/>
    </xf>
    <xf numFmtId="166" fontId="9" fillId="9" borderId="17" xfId="0" applyNumberFormat="1" applyFont="1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4" borderId="4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/>
    </xf>
    <xf numFmtId="0" fontId="3" fillId="0" borderId="20" xfId="0" applyFont="1" applyFill="1" applyBorder="1" applyAlignment="1">
      <alignment wrapText="1"/>
    </xf>
    <xf numFmtId="0" fontId="6" fillId="0" borderId="21" xfId="0" applyFont="1" applyBorder="1" applyAlignment="1">
      <alignment/>
    </xf>
    <xf numFmtId="165" fontId="3" fillId="0" borderId="21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164" fontId="2" fillId="2" borderId="22" xfId="0" applyNumberFormat="1" applyFont="1" applyFill="1" applyBorder="1" applyAlignment="1">
      <alignment/>
    </xf>
    <xf numFmtId="165" fontId="2" fillId="3" borderId="23" xfId="0" applyNumberFormat="1" applyFont="1" applyFill="1" applyBorder="1" applyAlignment="1">
      <alignment/>
    </xf>
    <xf numFmtId="0" fontId="2" fillId="4" borderId="23" xfId="0" applyFont="1" applyFill="1" applyBorder="1" applyAlignment="1">
      <alignment/>
    </xf>
    <xf numFmtId="165" fontId="2" fillId="0" borderId="21" xfId="0" applyNumberFormat="1" applyFont="1" applyFill="1" applyBorder="1" applyAlignment="1">
      <alignment/>
    </xf>
    <xf numFmtId="166" fontId="2" fillId="0" borderId="21" xfId="0" applyNumberFormat="1" applyFont="1" applyBorder="1" applyAlignment="1">
      <alignment/>
    </xf>
    <xf numFmtId="166" fontId="2" fillId="0" borderId="24" xfId="0" applyNumberFormat="1" applyFont="1" applyBorder="1" applyAlignment="1">
      <alignment/>
    </xf>
    <xf numFmtId="0" fontId="3" fillId="0" borderId="25" xfId="0" applyFont="1" applyFill="1" applyBorder="1" applyAlignment="1">
      <alignment wrapText="1"/>
    </xf>
    <xf numFmtId="0" fontId="6" fillId="0" borderId="26" xfId="0" applyFont="1" applyBorder="1" applyAlignment="1">
      <alignment/>
    </xf>
    <xf numFmtId="4" fontId="4" fillId="0" borderId="26" xfId="0" applyNumberFormat="1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12" fillId="0" borderId="26" xfId="0" applyNumberFormat="1" applyFont="1" applyBorder="1" applyAlignment="1">
      <alignment/>
    </xf>
    <xf numFmtId="165" fontId="12" fillId="2" borderId="27" xfId="0" applyNumberFormat="1" applyFont="1" applyFill="1" applyBorder="1" applyAlignment="1">
      <alignment/>
    </xf>
    <xf numFmtId="165" fontId="2" fillId="3" borderId="28" xfId="0" applyNumberFormat="1" applyFont="1" applyFill="1" applyBorder="1" applyAlignment="1">
      <alignment/>
    </xf>
    <xf numFmtId="166" fontId="15" fillId="4" borderId="28" xfId="0" applyNumberFormat="1" applyFont="1" applyFill="1" applyBorder="1" applyAlignment="1">
      <alignment/>
    </xf>
    <xf numFmtId="165" fontId="3" fillId="0" borderId="26" xfId="0" applyNumberFormat="1" applyFont="1" applyFill="1" applyBorder="1" applyAlignment="1">
      <alignment/>
    </xf>
    <xf numFmtId="166" fontId="2" fillId="0" borderId="26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0" fontId="16" fillId="0" borderId="0" xfId="0" applyFont="1" applyFill="1" applyAlignment="1">
      <alignment wrapText="1"/>
    </xf>
    <xf numFmtId="165" fontId="7" fillId="6" borderId="12" xfId="0" applyNumberFormat="1" applyFont="1" applyFill="1" applyBorder="1" applyAlignment="1">
      <alignment horizontal="center" vertical="center" wrapText="1"/>
    </xf>
    <xf numFmtId="165" fontId="5" fillId="6" borderId="12" xfId="0" applyNumberFormat="1" applyFont="1" applyFill="1" applyBorder="1" applyAlignment="1">
      <alignment/>
    </xf>
    <xf numFmtId="165" fontId="7" fillId="6" borderId="12" xfId="0" applyNumberFormat="1" applyFont="1" applyFill="1" applyBorder="1" applyAlignment="1">
      <alignment horizontal="right"/>
    </xf>
    <xf numFmtId="165" fontId="7" fillId="6" borderId="12" xfId="0" applyNumberFormat="1" applyFont="1" applyFill="1" applyBorder="1" applyAlignment="1">
      <alignment horizontal="center"/>
    </xf>
    <xf numFmtId="166" fontId="3" fillId="10" borderId="12" xfId="0" applyNumberFormat="1" applyFont="1" applyFill="1" applyBorder="1" applyAlignment="1">
      <alignment/>
    </xf>
    <xf numFmtId="166" fontId="2" fillId="10" borderId="12" xfId="0" applyNumberFormat="1" applyFont="1" applyFill="1" applyBorder="1" applyAlignment="1">
      <alignment/>
    </xf>
    <xf numFmtId="166" fontId="2" fillId="10" borderId="12" xfId="0" applyNumberFormat="1" applyFont="1" applyFill="1" applyBorder="1" applyAlignment="1">
      <alignment horizontal="center" vertical="center" wrapText="1"/>
    </xf>
    <xf numFmtId="166" fontId="7" fillId="10" borderId="12" xfId="0" applyNumberFormat="1" applyFont="1" applyFill="1" applyBorder="1" applyAlignment="1">
      <alignment/>
    </xf>
    <xf numFmtId="166" fontId="6" fillId="10" borderId="12" xfId="0" applyNumberFormat="1" applyFont="1" applyFill="1" applyBorder="1" applyAlignment="1">
      <alignment/>
    </xf>
    <xf numFmtId="0" fontId="3" fillId="11" borderId="12" xfId="0" applyFont="1" applyFill="1" applyBorder="1" applyAlignment="1">
      <alignment wrapText="1"/>
    </xf>
    <xf numFmtId="165" fontId="7" fillId="11" borderId="12" xfId="0" applyNumberFormat="1" applyFont="1" applyFill="1" applyBorder="1" applyAlignment="1">
      <alignment/>
    </xf>
    <xf numFmtId="165" fontId="5" fillId="12" borderId="12" xfId="0" applyNumberFormat="1" applyFont="1" applyFill="1" applyBorder="1" applyAlignment="1">
      <alignment horizontal="center"/>
    </xf>
    <xf numFmtId="0" fontId="4" fillId="13" borderId="12" xfId="0" applyFont="1" applyFill="1" applyBorder="1" applyAlignment="1">
      <alignment/>
    </xf>
    <xf numFmtId="168" fontId="3" fillId="13" borderId="12" xfId="17" applyNumberFormat="1" applyFont="1" applyFill="1" applyBorder="1" applyAlignment="1" applyProtection="1">
      <alignment horizontal="right"/>
      <protection/>
    </xf>
    <xf numFmtId="4" fontId="4" fillId="13" borderId="12" xfId="0" applyNumberFormat="1" applyFont="1" applyFill="1" applyBorder="1" applyAlignment="1">
      <alignment/>
    </xf>
    <xf numFmtId="164" fontId="3" fillId="13" borderId="12" xfId="0" applyNumberFormat="1" applyFont="1" applyFill="1" applyBorder="1" applyAlignment="1">
      <alignment/>
    </xf>
    <xf numFmtId="165" fontId="3" fillId="13" borderId="12" xfId="0" applyNumberFormat="1" applyFont="1" applyFill="1" applyBorder="1" applyAlignment="1">
      <alignment/>
    </xf>
    <xf numFmtId="165" fontId="12" fillId="14" borderId="12" xfId="0" applyNumberFormat="1" applyFont="1" applyFill="1" applyBorder="1" applyAlignment="1">
      <alignment/>
    </xf>
    <xf numFmtId="0" fontId="6" fillId="13" borderId="12" xfId="0" applyFont="1" applyFill="1" applyBorder="1" applyAlignment="1">
      <alignment/>
    </xf>
    <xf numFmtId="0" fontId="3" fillId="15" borderId="12" xfId="0" applyFont="1" applyFill="1" applyBorder="1" applyAlignment="1">
      <alignment wrapText="1"/>
    </xf>
    <xf numFmtId="0" fontId="4" fillId="15" borderId="12" xfId="0" applyFont="1" applyFill="1" applyBorder="1" applyAlignment="1">
      <alignment/>
    </xf>
    <xf numFmtId="168" fontId="3" fillId="15" borderId="12" xfId="17" applyNumberFormat="1" applyFont="1" applyFill="1" applyBorder="1" applyAlignment="1" applyProtection="1">
      <alignment horizontal="right"/>
      <protection/>
    </xf>
    <xf numFmtId="4" fontId="4" fillId="15" borderId="12" xfId="0" applyNumberFormat="1" applyFont="1" applyFill="1" applyBorder="1" applyAlignment="1">
      <alignment/>
    </xf>
    <xf numFmtId="165" fontId="3" fillId="15" borderId="12" xfId="0" applyNumberFormat="1" applyFont="1" applyFill="1" applyBorder="1" applyAlignment="1">
      <alignment/>
    </xf>
    <xf numFmtId="165" fontId="12" fillId="15" borderId="12" xfId="0" applyNumberFormat="1" applyFont="1" applyFill="1" applyBorder="1" applyAlignment="1">
      <alignment/>
    </xf>
    <xf numFmtId="165" fontId="7" fillId="15" borderId="12" xfId="0" applyNumberFormat="1" applyFont="1" applyFill="1" applyBorder="1" applyAlignment="1">
      <alignment/>
    </xf>
    <xf numFmtId="165" fontId="5" fillId="16" borderId="12" xfId="0" applyNumberFormat="1" applyFont="1" applyFill="1" applyBorder="1" applyAlignment="1">
      <alignment horizontal="center"/>
    </xf>
    <xf numFmtId="0" fontId="3" fillId="15" borderId="30" xfId="0" applyFont="1" applyFill="1" applyBorder="1" applyAlignment="1">
      <alignment wrapText="1"/>
    </xf>
    <xf numFmtId="0" fontId="6" fillId="15" borderId="14" xfId="0" applyFont="1" applyFill="1" applyBorder="1" applyAlignment="1">
      <alignment/>
    </xf>
    <xf numFmtId="168" fontId="3" fillId="15" borderId="14" xfId="17" applyNumberFormat="1" applyFont="1" applyFill="1" applyBorder="1" applyAlignment="1" applyProtection="1">
      <alignment horizontal="right"/>
      <protection/>
    </xf>
    <xf numFmtId="4" fontId="4" fillId="15" borderId="14" xfId="0" applyNumberFormat="1" applyFont="1" applyFill="1" applyBorder="1" applyAlignment="1">
      <alignment/>
    </xf>
    <xf numFmtId="165" fontId="3" fillId="15" borderId="14" xfId="0" applyNumberFormat="1" applyFont="1" applyFill="1" applyBorder="1" applyAlignment="1">
      <alignment/>
    </xf>
    <xf numFmtId="164" fontId="5" fillId="15" borderId="15" xfId="0" applyNumberFormat="1" applyFont="1" applyFill="1" applyBorder="1" applyAlignment="1">
      <alignment/>
    </xf>
    <xf numFmtId="165" fontId="5" fillId="15" borderId="15" xfId="0" applyNumberFormat="1" applyFont="1" applyFill="1" applyBorder="1" applyAlignment="1">
      <alignment/>
    </xf>
    <xf numFmtId="165" fontId="7" fillId="15" borderId="31" xfId="0" applyNumberFormat="1" applyFont="1" applyFill="1" applyBorder="1" applyAlignment="1">
      <alignment/>
    </xf>
    <xf numFmtId="165" fontId="5" fillId="15" borderId="31" xfId="0" applyNumberFormat="1" applyFont="1" applyFill="1" applyBorder="1" applyAlignment="1">
      <alignment/>
    </xf>
    <xf numFmtId="165" fontId="5" fillId="15" borderId="32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7" fillId="9" borderId="30" xfId="0" applyFont="1" applyFill="1" applyBorder="1" applyAlignment="1">
      <alignment wrapText="1"/>
    </xf>
    <xf numFmtId="166" fontId="3" fillId="0" borderId="33" xfId="0" applyNumberFormat="1" applyFont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165" fontId="3" fillId="3" borderId="34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165" fontId="3" fillId="0" borderId="35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164" fontId="18" fillId="2" borderId="1" xfId="0" applyNumberFormat="1" applyFont="1" applyFill="1" applyBorder="1" applyAlignment="1">
      <alignment/>
    </xf>
    <xf numFmtId="165" fontId="18" fillId="3" borderId="1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9" fillId="9" borderId="3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13" fillId="0" borderId="36" xfId="0" applyFont="1" applyBorder="1" applyAlignment="1">
      <alignment horizontal="right" wrapText="1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93"/>
  <sheetViews>
    <sheetView tabSelected="1" zoomScaleSheetLayoutView="100" workbookViewId="0" topLeftCell="A1">
      <selection activeCell="O8" sqref="O8"/>
    </sheetView>
  </sheetViews>
  <sheetFormatPr defaultColWidth="9.00390625" defaultRowHeight="12.75"/>
  <cols>
    <col min="1" max="1" width="60.75390625" style="1" customWidth="1"/>
    <col min="2" max="9" width="0" style="2" hidden="1" customWidth="1"/>
    <col min="10" max="10" width="0" style="3" hidden="1" customWidth="1"/>
    <col min="11" max="12" width="0" style="4" hidden="1" customWidth="1"/>
    <col min="13" max="13" width="0" style="5" hidden="1" customWidth="1"/>
    <col min="14" max="14" width="0" style="6" hidden="1" customWidth="1"/>
    <col min="15" max="15" width="18.375" style="7" customWidth="1"/>
    <col min="16" max="16" width="18.375" style="8" customWidth="1"/>
    <col min="17" max="17" width="20.75390625" style="9" customWidth="1"/>
    <col min="18" max="18" width="31.625" style="9" customWidth="1"/>
    <col min="19" max="19" width="15.375" style="2" customWidth="1"/>
    <col min="20" max="16384" width="9.125" style="2" customWidth="1"/>
  </cols>
  <sheetData>
    <row r="1" spans="1:18" ht="21" thickBot="1">
      <c r="A1" s="251" t="s">
        <v>75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3"/>
    </row>
    <row r="2" spans="1:77" s="12" customFormat="1" ht="16.5" thickBot="1">
      <c r="A2" s="88"/>
      <c r="B2" s="89"/>
      <c r="C2" s="89"/>
      <c r="D2" s="89"/>
      <c r="E2" s="89"/>
      <c r="F2" s="89"/>
      <c r="G2" s="90" t="s">
        <v>0</v>
      </c>
      <c r="H2" s="11"/>
      <c r="I2" s="11"/>
      <c r="J2" s="91" t="s">
        <v>1</v>
      </c>
      <c r="K2" s="92" t="s">
        <v>2</v>
      </c>
      <c r="L2" s="92" t="s">
        <v>3</v>
      </c>
      <c r="M2" s="239" t="s">
        <v>4</v>
      </c>
      <c r="N2" s="240" t="s">
        <v>5</v>
      </c>
      <c r="O2" s="241" t="s">
        <v>71</v>
      </c>
      <c r="P2" s="242" t="s">
        <v>54</v>
      </c>
      <c r="Q2" s="238" t="s">
        <v>76</v>
      </c>
      <c r="R2" s="10" t="s">
        <v>6</v>
      </c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</row>
    <row r="3" spans="1:18" ht="16.5" thickBot="1">
      <c r="A3" s="237" t="s">
        <v>7</v>
      </c>
      <c r="B3" s="104"/>
      <c r="C3" s="104"/>
      <c r="D3" s="104"/>
      <c r="E3" s="104"/>
      <c r="F3" s="104"/>
      <c r="G3" s="105"/>
      <c r="H3" s="106"/>
      <c r="I3" s="106"/>
      <c r="J3" s="107"/>
      <c r="K3" s="108"/>
      <c r="L3" s="108"/>
      <c r="M3" s="109"/>
      <c r="N3" s="110"/>
      <c r="O3" s="111"/>
      <c r="P3" s="108"/>
      <c r="Q3" s="112"/>
      <c r="R3" s="113"/>
    </row>
    <row r="4" spans="1:19" ht="12.75">
      <c r="A4" s="93" t="s">
        <v>8</v>
      </c>
      <c r="B4" s="94"/>
      <c r="C4" s="94"/>
      <c r="D4" s="94"/>
      <c r="E4" s="94"/>
      <c r="F4" s="94"/>
      <c r="G4" s="95" t="e">
        <f>SUM(G5:G5:#REF!)</f>
        <v>#REF!</v>
      </c>
      <c r="H4" s="96"/>
      <c r="I4" s="96"/>
      <c r="J4" s="97"/>
      <c r="K4" s="97"/>
      <c r="L4" s="97"/>
      <c r="M4" s="98"/>
      <c r="N4" s="99"/>
      <c r="O4" s="100"/>
      <c r="P4" s="101"/>
      <c r="Q4" s="102"/>
      <c r="R4" s="103"/>
      <c r="S4" s="16"/>
    </row>
    <row r="5" spans="1:19" ht="15.75">
      <c r="A5" s="54" t="s">
        <v>9</v>
      </c>
      <c r="B5" s="45"/>
      <c r="C5" s="45"/>
      <c r="D5" s="45"/>
      <c r="E5" s="45"/>
      <c r="F5" s="45"/>
      <c r="G5" s="55">
        <f>937340+5910</f>
        <v>943250</v>
      </c>
      <c r="H5" s="47"/>
      <c r="I5" s="47"/>
      <c r="J5" s="48"/>
      <c r="K5" s="56">
        <v>930000</v>
      </c>
      <c r="L5" s="56">
        <f>J5+K5</f>
        <v>930000</v>
      </c>
      <c r="M5" s="57">
        <v>927000</v>
      </c>
      <c r="N5" s="50">
        <v>0</v>
      </c>
      <c r="O5" s="58">
        <f>M5+N5</f>
        <v>927000</v>
      </c>
      <c r="P5" s="59">
        <v>900000</v>
      </c>
      <c r="Q5" s="52">
        <v>900000</v>
      </c>
      <c r="R5" s="53">
        <v>0</v>
      </c>
      <c r="S5" s="18"/>
    </row>
    <row r="6" spans="1:19" s="19" customFormat="1" ht="26.25">
      <c r="A6" s="54" t="s">
        <v>47</v>
      </c>
      <c r="B6" s="60"/>
      <c r="C6" s="60"/>
      <c r="D6" s="60"/>
      <c r="E6" s="60"/>
      <c r="F6" s="60"/>
      <c r="G6" s="61"/>
      <c r="H6" s="62"/>
      <c r="I6" s="62"/>
      <c r="J6" s="63"/>
      <c r="K6" s="64"/>
      <c r="L6" s="64"/>
      <c r="M6" s="65"/>
      <c r="N6" s="66"/>
      <c r="O6" s="58"/>
      <c r="P6" s="59"/>
      <c r="Q6" s="67"/>
      <c r="R6" s="68"/>
      <c r="S6" s="16"/>
    </row>
    <row r="7" spans="1:19" ht="15.75">
      <c r="A7" s="54"/>
      <c r="B7" s="69"/>
      <c r="C7" s="69"/>
      <c r="D7" s="69"/>
      <c r="E7" s="69"/>
      <c r="F7" s="69"/>
      <c r="G7" s="55"/>
      <c r="H7" s="70"/>
      <c r="I7" s="70"/>
      <c r="J7" s="48"/>
      <c r="K7" s="56"/>
      <c r="L7" s="56"/>
      <c r="M7" s="57"/>
      <c r="N7" s="50"/>
      <c r="O7" s="58"/>
      <c r="P7" s="59"/>
      <c r="Q7" s="52"/>
      <c r="R7" s="53"/>
      <c r="S7" s="16"/>
    </row>
    <row r="8" spans="1:19" ht="15.75">
      <c r="A8" s="71" t="s">
        <v>51</v>
      </c>
      <c r="B8" s="45"/>
      <c r="C8" s="45"/>
      <c r="D8" s="45"/>
      <c r="E8" s="45"/>
      <c r="F8" s="45"/>
      <c r="G8" s="55"/>
      <c r="H8" s="47"/>
      <c r="I8" s="47"/>
      <c r="J8" s="48"/>
      <c r="K8" s="56"/>
      <c r="L8" s="56"/>
      <c r="M8" s="57">
        <f>1000000-N8</f>
        <v>218000</v>
      </c>
      <c r="N8" s="66">
        <v>782000</v>
      </c>
      <c r="O8" s="58">
        <f>M8+N8</f>
        <v>1000000</v>
      </c>
      <c r="P8" s="59">
        <v>900000</v>
      </c>
      <c r="Q8" s="52">
        <v>75000</v>
      </c>
      <c r="R8" s="53">
        <v>825000</v>
      </c>
      <c r="S8" s="18"/>
    </row>
    <row r="9" spans="1:19" s="20" customFormat="1" ht="26.25">
      <c r="A9" s="72" t="s">
        <v>48</v>
      </c>
      <c r="B9" s="73"/>
      <c r="C9" s="73"/>
      <c r="D9" s="73"/>
      <c r="E9" s="73"/>
      <c r="F9" s="73"/>
      <c r="G9" s="55"/>
      <c r="H9" s="74"/>
      <c r="I9" s="74"/>
      <c r="J9" s="75"/>
      <c r="K9" s="76"/>
      <c r="L9" s="76"/>
      <c r="M9" s="77"/>
      <c r="N9" s="78"/>
      <c r="O9" s="58"/>
      <c r="P9" s="79"/>
      <c r="Q9" s="80"/>
      <c r="R9" s="81"/>
      <c r="S9" s="16"/>
    </row>
    <row r="10" spans="1:19" ht="15.75">
      <c r="A10" s="71" t="s">
        <v>52</v>
      </c>
      <c r="B10" s="45"/>
      <c r="C10" s="45"/>
      <c r="D10" s="45"/>
      <c r="E10" s="45"/>
      <c r="F10" s="45"/>
      <c r="G10" s="55"/>
      <c r="H10" s="47"/>
      <c r="I10" s="47"/>
      <c r="J10" s="48">
        <f>7343000</f>
        <v>7343000</v>
      </c>
      <c r="K10" s="56">
        <v>298000</v>
      </c>
      <c r="L10" s="56">
        <f>J10+K10</f>
        <v>7641000</v>
      </c>
      <c r="M10" s="57">
        <v>0</v>
      </c>
      <c r="N10" s="82">
        <v>100000</v>
      </c>
      <c r="O10" s="58">
        <f>M10+N10</f>
        <v>100000</v>
      </c>
      <c r="P10" s="59">
        <v>110000</v>
      </c>
      <c r="Q10" s="52">
        <v>0</v>
      </c>
      <c r="R10" s="53">
        <v>110000</v>
      </c>
      <c r="S10" s="18"/>
    </row>
    <row r="11" spans="1:19" ht="26.25">
      <c r="A11" s="54" t="s">
        <v>72</v>
      </c>
      <c r="B11" s="45"/>
      <c r="C11" s="45"/>
      <c r="D11" s="45"/>
      <c r="E11" s="45"/>
      <c r="F11" s="45"/>
      <c r="G11" s="55"/>
      <c r="H11" s="47"/>
      <c r="I11" s="47"/>
      <c r="J11" s="48"/>
      <c r="K11" s="56"/>
      <c r="L11" s="56"/>
      <c r="M11" s="57"/>
      <c r="N11" s="50"/>
      <c r="O11" s="58"/>
      <c r="P11" s="59"/>
      <c r="Q11" s="52"/>
      <c r="R11" s="53"/>
      <c r="S11" s="16"/>
    </row>
    <row r="12" spans="1:19" ht="15.75">
      <c r="A12" s="83"/>
      <c r="B12" s="45"/>
      <c r="C12" s="45"/>
      <c r="D12" s="45"/>
      <c r="E12" s="45"/>
      <c r="F12" s="45"/>
      <c r="G12" s="55"/>
      <c r="H12" s="47"/>
      <c r="I12" s="47"/>
      <c r="J12" s="48"/>
      <c r="K12" s="56"/>
      <c r="L12" s="56"/>
      <c r="M12" s="57"/>
      <c r="N12" s="50"/>
      <c r="O12" s="58"/>
      <c r="P12" s="59"/>
      <c r="Q12" s="52"/>
      <c r="R12" s="53"/>
      <c r="S12" s="16"/>
    </row>
    <row r="13" spans="1:19" ht="15.75">
      <c r="A13" s="71" t="s">
        <v>10</v>
      </c>
      <c r="B13" s="45"/>
      <c r="C13" s="45"/>
      <c r="D13" s="45"/>
      <c r="E13" s="45"/>
      <c r="F13" s="45"/>
      <c r="G13" s="55">
        <v>4540</v>
      </c>
      <c r="H13" s="47"/>
      <c r="I13" s="47"/>
      <c r="J13" s="48"/>
      <c r="K13" s="56"/>
      <c r="L13" s="56"/>
      <c r="M13" s="57"/>
      <c r="N13" s="50"/>
      <c r="O13" s="58"/>
      <c r="P13" s="59"/>
      <c r="Q13" s="52"/>
      <c r="R13" s="53"/>
      <c r="S13" s="16"/>
    </row>
    <row r="14" spans="1:19" ht="15.75">
      <c r="A14" s="54"/>
      <c r="B14" s="45"/>
      <c r="C14" s="45"/>
      <c r="D14" s="45"/>
      <c r="E14" s="45"/>
      <c r="F14" s="45"/>
      <c r="G14" s="55"/>
      <c r="H14" s="47"/>
      <c r="I14" s="47"/>
      <c r="J14" s="48"/>
      <c r="K14" s="56"/>
      <c r="L14" s="56"/>
      <c r="M14" s="57"/>
      <c r="N14" s="50"/>
      <c r="O14" s="58"/>
      <c r="P14" s="59"/>
      <c r="Q14" s="52"/>
      <c r="R14" s="53"/>
      <c r="S14" s="16"/>
    </row>
    <row r="15" spans="1:19" ht="15.75">
      <c r="A15" s="71" t="s">
        <v>11</v>
      </c>
      <c r="B15" s="45"/>
      <c r="C15" s="45"/>
      <c r="D15" s="45"/>
      <c r="E15" s="45"/>
      <c r="F15" s="45"/>
      <c r="G15" s="55">
        <v>22200</v>
      </c>
      <c r="H15" s="47"/>
      <c r="I15" s="47"/>
      <c r="J15" s="48"/>
      <c r="K15" s="56">
        <v>30000</v>
      </c>
      <c r="L15" s="56">
        <f>J15+K15</f>
        <v>30000</v>
      </c>
      <c r="M15" s="57">
        <v>30000</v>
      </c>
      <c r="N15" s="50">
        <v>0</v>
      </c>
      <c r="O15" s="58">
        <f>M15+N15</f>
        <v>30000</v>
      </c>
      <c r="P15" s="59">
        <v>30000</v>
      </c>
      <c r="Q15" s="52">
        <v>30000</v>
      </c>
      <c r="R15" s="53">
        <v>0</v>
      </c>
      <c r="S15" s="18"/>
    </row>
    <row r="16" spans="1:19" ht="15.75">
      <c r="A16" s="83"/>
      <c r="B16" s="45"/>
      <c r="C16" s="45"/>
      <c r="D16" s="45"/>
      <c r="E16" s="45"/>
      <c r="F16" s="45"/>
      <c r="G16" s="55"/>
      <c r="H16" s="47"/>
      <c r="I16" s="47"/>
      <c r="J16" s="48"/>
      <c r="K16" s="56"/>
      <c r="L16" s="56"/>
      <c r="M16" s="57"/>
      <c r="N16" s="50"/>
      <c r="O16" s="58"/>
      <c r="P16" s="59"/>
      <c r="Q16" s="52"/>
      <c r="R16" s="53"/>
      <c r="S16" s="16"/>
    </row>
    <row r="17" spans="1:19" ht="15.75">
      <c r="A17" s="44" t="s">
        <v>12</v>
      </c>
      <c r="B17" s="45"/>
      <c r="C17" s="45"/>
      <c r="D17" s="45"/>
      <c r="E17" s="45"/>
      <c r="F17" s="45"/>
      <c r="G17" s="55">
        <v>8569.52</v>
      </c>
      <c r="H17" s="47"/>
      <c r="I17" s="47"/>
      <c r="J17" s="48"/>
      <c r="K17" s="56">
        <v>6000</v>
      </c>
      <c r="L17" s="56">
        <f>J17+K17</f>
        <v>6000</v>
      </c>
      <c r="M17" s="57">
        <v>2000</v>
      </c>
      <c r="N17" s="50">
        <v>0</v>
      </c>
      <c r="O17" s="58">
        <f>M17+N17</f>
        <v>2000</v>
      </c>
      <c r="P17" s="59">
        <v>500</v>
      </c>
      <c r="Q17" s="52">
        <v>500</v>
      </c>
      <c r="R17" s="53">
        <v>0</v>
      </c>
      <c r="S17" s="18"/>
    </row>
    <row r="18" spans="1:19" ht="15.75">
      <c r="A18" s="54"/>
      <c r="B18" s="45"/>
      <c r="C18" s="45"/>
      <c r="D18" s="45"/>
      <c r="E18" s="45"/>
      <c r="F18" s="45"/>
      <c r="G18" s="55"/>
      <c r="H18" s="47"/>
      <c r="I18" s="47"/>
      <c r="J18" s="48"/>
      <c r="K18" s="56"/>
      <c r="L18" s="56"/>
      <c r="M18" s="57"/>
      <c r="N18" s="50"/>
      <c r="O18" s="58"/>
      <c r="P18" s="59"/>
      <c r="Q18" s="52"/>
      <c r="R18" s="53"/>
      <c r="S18" s="16"/>
    </row>
    <row r="19" spans="1:19" ht="15.75">
      <c r="A19" s="44" t="s">
        <v>13</v>
      </c>
      <c r="B19" s="45"/>
      <c r="C19" s="45"/>
      <c r="D19" s="45"/>
      <c r="E19" s="45"/>
      <c r="F19" s="45"/>
      <c r="G19" s="55">
        <v>550241</v>
      </c>
      <c r="H19" s="47"/>
      <c r="I19" s="47"/>
      <c r="J19" s="48"/>
      <c r="K19" s="56">
        <v>35000</v>
      </c>
      <c r="L19" s="56">
        <f>K19</f>
        <v>35000</v>
      </c>
      <c r="M19" s="57">
        <v>15000</v>
      </c>
      <c r="N19" s="50">
        <v>0</v>
      </c>
      <c r="O19" s="58">
        <f>M19+N19</f>
        <v>15000</v>
      </c>
      <c r="P19" s="59">
        <v>166500</v>
      </c>
      <c r="Q19" s="52">
        <v>166500</v>
      </c>
      <c r="R19" s="53">
        <v>0</v>
      </c>
      <c r="S19" s="18"/>
    </row>
    <row r="20" spans="1:19" ht="26.25">
      <c r="A20" s="83" t="s">
        <v>14</v>
      </c>
      <c r="B20" s="45"/>
      <c r="C20" s="45"/>
      <c r="D20" s="45"/>
      <c r="E20" s="45"/>
      <c r="F20" s="45"/>
      <c r="G20" s="55"/>
      <c r="H20" s="47"/>
      <c r="I20" s="47"/>
      <c r="J20" s="48"/>
      <c r="K20" s="56"/>
      <c r="L20" s="56"/>
      <c r="M20" s="57"/>
      <c r="N20" s="50"/>
      <c r="O20" s="58"/>
      <c r="P20" s="59"/>
      <c r="Q20" s="52"/>
      <c r="R20" s="53"/>
      <c r="S20" s="16"/>
    </row>
    <row r="21" spans="1:19" ht="15.75">
      <c r="A21" s="54"/>
      <c r="B21" s="45"/>
      <c r="C21" s="45"/>
      <c r="D21" s="45"/>
      <c r="E21" s="45"/>
      <c r="F21" s="45"/>
      <c r="G21" s="55"/>
      <c r="H21" s="47"/>
      <c r="I21" s="47"/>
      <c r="J21" s="48"/>
      <c r="K21" s="56"/>
      <c r="L21" s="56"/>
      <c r="M21" s="57"/>
      <c r="N21" s="50"/>
      <c r="O21" s="58"/>
      <c r="P21" s="59"/>
      <c r="Q21" s="52"/>
      <c r="R21" s="53"/>
      <c r="S21" s="16"/>
    </row>
    <row r="22" spans="1:19" ht="15.75">
      <c r="A22" s="71" t="s">
        <v>49</v>
      </c>
      <c r="B22" s="45"/>
      <c r="C22" s="45"/>
      <c r="D22" s="45"/>
      <c r="E22" s="45"/>
      <c r="F22" s="45"/>
      <c r="G22" s="55"/>
      <c r="H22" s="47"/>
      <c r="I22" s="47"/>
      <c r="J22" s="48"/>
      <c r="K22" s="56"/>
      <c r="L22" s="56"/>
      <c r="M22" s="57">
        <f>M51*0.85</f>
        <v>102000</v>
      </c>
      <c r="N22" s="50">
        <v>0</v>
      </c>
      <c r="O22" s="58">
        <f>M22+N22</f>
        <v>102000</v>
      </c>
      <c r="P22" s="59"/>
      <c r="Q22" s="52"/>
      <c r="R22" s="53"/>
      <c r="S22" s="16"/>
    </row>
    <row r="23" spans="1:18" s="16" customFormat="1" ht="12.75">
      <c r="A23" s="83"/>
      <c r="B23" s="84"/>
      <c r="C23" s="84"/>
      <c r="D23" s="84"/>
      <c r="E23" s="84"/>
      <c r="F23" s="84"/>
      <c r="G23" s="55"/>
      <c r="H23" s="85"/>
      <c r="I23" s="85"/>
      <c r="J23" s="86"/>
      <c r="K23" s="87"/>
      <c r="L23" s="87"/>
      <c r="M23" s="49"/>
      <c r="N23" s="50"/>
      <c r="O23" s="58"/>
      <c r="P23" s="51"/>
      <c r="Q23" s="52"/>
      <c r="R23" s="53"/>
    </row>
    <row r="24" spans="1:19" ht="12.75">
      <c r="A24" s="44" t="s">
        <v>50</v>
      </c>
      <c r="B24" s="45"/>
      <c r="C24" s="45"/>
      <c r="D24" s="45"/>
      <c r="E24" s="45"/>
      <c r="F24" s="45"/>
      <c r="G24" s="55"/>
      <c r="H24" s="47"/>
      <c r="I24" s="47"/>
      <c r="J24" s="48"/>
      <c r="K24" s="56">
        <v>37000</v>
      </c>
      <c r="L24" s="56">
        <v>37000</v>
      </c>
      <c r="M24" s="57"/>
      <c r="N24" s="50"/>
      <c r="O24" s="58"/>
      <c r="P24" s="51"/>
      <c r="Q24" s="52"/>
      <c r="R24" s="53"/>
      <c r="S24" s="16"/>
    </row>
    <row r="25" spans="1:19" ht="13.5" thickBot="1">
      <c r="A25" s="22"/>
      <c r="B25" s="21"/>
      <c r="C25" s="21"/>
      <c r="D25" s="21"/>
      <c r="E25" s="21"/>
      <c r="F25" s="21"/>
      <c r="G25" s="17"/>
      <c r="H25" s="15"/>
      <c r="I25" s="15"/>
      <c r="M25" s="42"/>
      <c r="N25" s="114"/>
      <c r="O25" s="115"/>
      <c r="P25" s="116"/>
      <c r="Q25" s="117"/>
      <c r="R25" s="118"/>
      <c r="S25" s="16"/>
    </row>
    <row r="26" spans="1:22" s="23" customFormat="1" ht="16.5" thickBot="1">
      <c r="A26" s="223" t="s">
        <v>15</v>
      </c>
      <c r="B26" s="224"/>
      <c r="C26" s="224"/>
      <c r="D26" s="224"/>
      <c r="E26" s="224"/>
      <c r="F26" s="224"/>
      <c r="G26" s="225">
        <v>1697343.02</v>
      </c>
      <c r="H26" s="226"/>
      <c r="I26" s="226"/>
      <c r="J26" s="227">
        <f>SUM(J5:J25)</f>
        <v>7343000</v>
      </c>
      <c r="K26" s="227">
        <f>SUM(K5:K25)</f>
        <v>1336000</v>
      </c>
      <c r="L26" s="227">
        <f>J26+K26</f>
        <v>8679000</v>
      </c>
      <c r="M26" s="228">
        <f>SUM(M5:M24)</f>
        <v>1294000</v>
      </c>
      <c r="N26" s="229">
        <f>SUM(N5:N25)</f>
        <v>882000</v>
      </c>
      <c r="O26" s="230">
        <f>M26+N26</f>
        <v>2176000</v>
      </c>
      <c r="P26" s="231">
        <f>SUM(P5:P22)</f>
        <v>2107000</v>
      </c>
      <c r="Q26" s="231">
        <f>SUM(Q5:Q20)</f>
        <v>1172000</v>
      </c>
      <c r="R26" s="232">
        <f>SUM(R5:R20)</f>
        <v>935000</v>
      </c>
      <c r="S26" s="16"/>
      <c r="T26" s="16"/>
      <c r="U26" s="16"/>
      <c r="V26" s="16"/>
    </row>
    <row r="27" spans="2:15" ht="13.5" thickBot="1">
      <c r="B27" s="14"/>
      <c r="C27" s="14"/>
      <c r="D27" s="14"/>
      <c r="E27" s="15"/>
      <c r="F27" s="14"/>
      <c r="G27" s="17"/>
      <c r="H27" s="15"/>
      <c r="I27" s="15"/>
      <c r="M27" s="24"/>
      <c r="N27" s="43"/>
      <c r="O27"/>
    </row>
    <row r="28" spans="1:18" s="25" customFormat="1" ht="16.5" thickBot="1">
      <c r="A28" s="237" t="s">
        <v>16</v>
      </c>
      <c r="B28" s="157"/>
      <c r="C28" s="157"/>
      <c r="D28" s="157"/>
      <c r="E28" s="157"/>
      <c r="F28" s="157"/>
      <c r="G28" s="158"/>
      <c r="H28" s="159"/>
      <c r="I28" s="159"/>
      <c r="J28" s="160"/>
      <c r="K28" s="161"/>
      <c r="L28" s="162">
        <v>2009</v>
      </c>
      <c r="M28" s="163">
        <v>2010</v>
      </c>
      <c r="N28" s="164"/>
      <c r="O28" s="110"/>
      <c r="P28" s="161"/>
      <c r="Q28" s="165"/>
      <c r="R28" s="166"/>
    </row>
    <row r="29" spans="1:18" s="26" customFormat="1" ht="15.75">
      <c r="A29" s="147"/>
      <c r="B29" s="148"/>
      <c r="C29" s="148"/>
      <c r="D29" s="148"/>
      <c r="E29" s="148"/>
      <c r="F29" s="148"/>
      <c r="G29" s="149" t="s">
        <v>0</v>
      </c>
      <c r="H29" s="150"/>
      <c r="I29" s="150"/>
      <c r="J29" s="151" t="s">
        <v>1</v>
      </c>
      <c r="K29" s="146" t="s">
        <v>2</v>
      </c>
      <c r="L29" s="152" t="s">
        <v>3</v>
      </c>
      <c r="M29" s="153" t="s">
        <v>4</v>
      </c>
      <c r="N29" s="154" t="s">
        <v>5</v>
      </c>
      <c r="O29" s="155" t="s">
        <v>53</v>
      </c>
      <c r="P29" s="155" t="s">
        <v>54</v>
      </c>
      <c r="Q29" s="156" t="s">
        <v>17</v>
      </c>
      <c r="R29" s="156" t="s">
        <v>6</v>
      </c>
    </row>
    <row r="30" spans="1:29" s="27" customFormat="1" ht="16.5" thickBot="1">
      <c r="A30" s="119" t="s">
        <v>55</v>
      </c>
      <c r="B30" s="120"/>
      <c r="C30" s="120"/>
      <c r="D30" s="120"/>
      <c r="E30" s="121"/>
      <c r="F30" s="121"/>
      <c r="G30" s="46">
        <f>SUM(G31:G35)</f>
        <v>606133</v>
      </c>
      <c r="H30" s="122"/>
      <c r="I30" s="122"/>
      <c r="J30" s="123">
        <f>J31+J33+J34+J35</f>
        <v>731000</v>
      </c>
      <c r="K30" s="123">
        <f>K31+K33+K34+K35</f>
        <v>890000</v>
      </c>
      <c r="L30" s="123">
        <f>J30+K30</f>
        <v>1621000</v>
      </c>
      <c r="M30" s="124">
        <f>M31+M33+M34+M35</f>
        <v>939000</v>
      </c>
      <c r="N30" s="124">
        <f>N31+N33+N34+N35</f>
        <v>742000</v>
      </c>
      <c r="O30" s="58"/>
      <c r="P30" s="59"/>
      <c r="Q30" s="200"/>
      <c r="R30" s="125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</row>
    <row r="31" spans="1:29" ht="15.75">
      <c r="A31" s="126" t="s">
        <v>18</v>
      </c>
      <c r="B31" s="127"/>
      <c r="C31" s="127"/>
      <c r="D31" s="127"/>
      <c r="E31" s="127"/>
      <c r="F31" s="45"/>
      <c r="G31" s="55">
        <v>448039</v>
      </c>
      <c r="H31" s="55">
        <v>448039</v>
      </c>
      <c r="I31" s="55">
        <v>448039</v>
      </c>
      <c r="J31" s="56">
        <v>540000</v>
      </c>
      <c r="K31" s="56">
        <f>ROUND(628000+29600,-3)</f>
        <v>658000</v>
      </c>
      <c r="L31" s="56">
        <f>J31+K31</f>
        <v>1198000</v>
      </c>
      <c r="M31" s="124">
        <f>23000*3*12+2500*12+33000*12-N31-3000</f>
        <v>699000</v>
      </c>
      <c r="N31" s="50">
        <v>552000</v>
      </c>
      <c r="O31" s="58">
        <f>M31+N31</f>
        <v>1251000</v>
      </c>
      <c r="P31" s="59">
        <v>1240000</v>
      </c>
      <c r="Q31" s="201">
        <f>P31-R31</f>
        <v>655000</v>
      </c>
      <c r="R31" s="53">
        <v>585000</v>
      </c>
      <c r="S31" s="9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</row>
    <row r="32" spans="1:29" s="29" customFormat="1" ht="38.25">
      <c r="A32" s="128" t="s">
        <v>73</v>
      </c>
      <c r="B32" s="129"/>
      <c r="C32" s="129"/>
      <c r="D32" s="129"/>
      <c r="E32" s="129"/>
      <c r="F32" s="129"/>
      <c r="G32" s="130"/>
      <c r="H32" s="130"/>
      <c r="I32" s="130"/>
      <c r="J32" s="131"/>
      <c r="K32" s="132"/>
      <c r="L32" s="132"/>
      <c r="M32" s="133"/>
      <c r="N32" s="134"/>
      <c r="O32" s="58"/>
      <c r="P32" s="196"/>
      <c r="Q32" s="202"/>
      <c r="R32" s="135"/>
      <c r="S32" s="234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</row>
    <row r="33" spans="1:29" ht="15.75">
      <c r="A33" s="136" t="s">
        <v>19</v>
      </c>
      <c r="B33" s="127"/>
      <c r="C33" s="127"/>
      <c r="D33" s="127"/>
      <c r="E33" s="127"/>
      <c r="F33" s="45"/>
      <c r="G33" s="55">
        <v>116494</v>
      </c>
      <c r="H33" s="47"/>
      <c r="I33" s="47"/>
      <c r="J33" s="56">
        <f>ROUND(J31*0.26,-3)</f>
        <v>140000</v>
      </c>
      <c r="K33" s="56">
        <f>ROUND(K31*0.26,-3)</f>
        <v>171000</v>
      </c>
      <c r="L33" s="56">
        <f>ROUND(L31*0.26,-3)</f>
        <v>311000</v>
      </c>
      <c r="M33" s="57">
        <f>ROUND(M31*0.25,-3)</f>
        <v>175000</v>
      </c>
      <c r="N33" s="57">
        <f>ROUND(N31*0.25,-3)</f>
        <v>138000</v>
      </c>
      <c r="O33" s="58">
        <f aca="true" t="shared" si="0" ref="O33:O40">M33+N33</f>
        <v>313000</v>
      </c>
      <c r="P33" s="59">
        <v>305000</v>
      </c>
      <c r="Q33" s="201">
        <v>161000</v>
      </c>
      <c r="R33" s="53">
        <v>144000</v>
      </c>
      <c r="S33" s="9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</row>
    <row r="34" spans="1:29" ht="15.75">
      <c r="A34" s="126" t="s">
        <v>20</v>
      </c>
      <c r="B34" s="127"/>
      <c r="C34" s="127"/>
      <c r="D34" s="127"/>
      <c r="E34" s="127"/>
      <c r="F34" s="45"/>
      <c r="G34" s="55">
        <v>40326</v>
      </c>
      <c r="H34" s="47"/>
      <c r="I34" s="47"/>
      <c r="J34" s="56">
        <f>ROUND(J31*0.09,-3)</f>
        <v>49000</v>
      </c>
      <c r="K34" s="56">
        <f>ROUND(K31*0.09,-3)</f>
        <v>59000</v>
      </c>
      <c r="L34" s="56">
        <f>ROUND(L31*0.09,-3)</f>
        <v>108000</v>
      </c>
      <c r="M34" s="57">
        <f>ROUND(M31*0.09,-3)</f>
        <v>63000</v>
      </c>
      <c r="N34" s="57">
        <f>ROUND(N31*0.09,-3)</f>
        <v>50000</v>
      </c>
      <c r="O34" s="58">
        <f t="shared" si="0"/>
        <v>113000</v>
      </c>
      <c r="P34" s="59">
        <v>120000</v>
      </c>
      <c r="Q34" s="201">
        <v>62000</v>
      </c>
      <c r="R34" s="53">
        <v>58000</v>
      </c>
      <c r="S34" s="9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</row>
    <row r="35" spans="1:29" ht="15.75">
      <c r="A35" s="126" t="s">
        <v>21</v>
      </c>
      <c r="B35" s="127"/>
      <c r="C35" s="127"/>
      <c r="D35" s="127"/>
      <c r="E35" s="127"/>
      <c r="F35" s="45"/>
      <c r="G35" s="55">
        <v>1274</v>
      </c>
      <c r="H35" s="55">
        <v>1274</v>
      </c>
      <c r="I35" s="55">
        <v>1274</v>
      </c>
      <c r="J35" s="56">
        <v>2000</v>
      </c>
      <c r="K35" s="56">
        <v>2000</v>
      </c>
      <c r="L35" s="56">
        <f>J35+K35</f>
        <v>4000</v>
      </c>
      <c r="M35" s="57">
        <v>2000</v>
      </c>
      <c r="N35" s="50">
        <v>2000</v>
      </c>
      <c r="O35" s="58">
        <f t="shared" si="0"/>
        <v>4000</v>
      </c>
      <c r="P35" s="59">
        <v>4000</v>
      </c>
      <c r="Q35" s="201">
        <v>2000</v>
      </c>
      <c r="R35" s="53">
        <v>2000</v>
      </c>
      <c r="S35" s="9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</row>
    <row r="36" spans="1:29" ht="15.75">
      <c r="A36" s="126"/>
      <c r="B36" s="127"/>
      <c r="C36" s="127"/>
      <c r="D36" s="127"/>
      <c r="E36" s="127"/>
      <c r="F36" s="45"/>
      <c r="G36" s="55"/>
      <c r="H36" s="47"/>
      <c r="I36" s="47"/>
      <c r="J36" s="56"/>
      <c r="K36" s="56"/>
      <c r="L36" s="56"/>
      <c r="M36" s="57"/>
      <c r="N36" s="50"/>
      <c r="O36" s="58">
        <f t="shared" si="0"/>
        <v>0</v>
      </c>
      <c r="P36" s="59"/>
      <c r="Q36" s="201"/>
      <c r="R36" s="53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</row>
    <row r="37" spans="1:29" ht="15.75">
      <c r="A37" s="119" t="s">
        <v>56</v>
      </c>
      <c r="B37" s="127"/>
      <c r="C37" s="127"/>
      <c r="D37" s="127"/>
      <c r="E37" s="45"/>
      <c r="F37" s="45"/>
      <c r="G37" s="46" t="e">
        <f>G38+G39+G40+G42+G43+G44+G45+G46+G53+G54+G58+G55+G56+#REF!+#REF!</f>
        <v>#REF!</v>
      </c>
      <c r="H37" s="122"/>
      <c r="I37" s="122"/>
      <c r="J37" s="123">
        <f>SUM(J38,J39,J40,J43,J46,J52,J53,J55,J56)</f>
        <v>181000</v>
      </c>
      <c r="K37" s="123">
        <f>SUM(K38,K39,K40,K42,K43,K44,K45,K46,K53,K54,K55,K56)</f>
        <v>559000</v>
      </c>
      <c r="L37" s="123">
        <f>SUM(L38,L39,L40,L42,L43,L44,L45,L46,L52,L53,L54,L55,L56)</f>
        <v>740000</v>
      </c>
      <c r="M37" s="124">
        <f>SUM(M38:M58)</f>
        <v>273000</v>
      </c>
      <c r="N37" s="124">
        <f>SUM(N38:N58)</f>
        <v>140000</v>
      </c>
      <c r="O37" s="58">
        <f t="shared" si="0"/>
        <v>413000</v>
      </c>
      <c r="P37" s="197"/>
      <c r="Q37" s="201"/>
      <c r="R37" s="53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</row>
    <row r="38" spans="1:29" ht="15.75">
      <c r="A38" s="126" t="s">
        <v>57</v>
      </c>
      <c r="B38" s="127"/>
      <c r="C38" s="127"/>
      <c r="D38" s="127"/>
      <c r="E38" s="45"/>
      <c r="F38" s="45"/>
      <c r="G38" s="55">
        <v>4971.5</v>
      </c>
      <c r="H38" s="47"/>
      <c r="I38" s="47"/>
      <c r="J38" s="56">
        <v>10000</v>
      </c>
      <c r="K38" s="56">
        <v>10000</v>
      </c>
      <c r="L38" s="56">
        <f>J38+K38</f>
        <v>20000</v>
      </c>
      <c r="M38" s="57">
        <f>20000-N38</f>
        <v>10000</v>
      </c>
      <c r="N38" s="50">
        <v>10000</v>
      </c>
      <c r="O38" s="58">
        <f t="shared" si="0"/>
        <v>20000</v>
      </c>
      <c r="P38" s="59">
        <v>15000</v>
      </c>
      <c r="Q38" s="201">
        <v>10000</v>
      </c>
      <c r="R38" s="53">
        <v>5000</v>
      </c>
      <c r="S38" s="9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</row>
    <row r="39" spans="1:29" ht="15.75">
      <c r="A39" s="126" t="s">
        <v>22</v>
      </c>
      <c r="B39" s="127"/>
      <c r="C39" s="127"/>
      <c r="D39" s="127"/>
      <c r="E39" s="45"/>
      <c r="F39" s="45"/>
      <c r="G39" s="55">
        <v>49889.5</v>
      </c>
      <c r="H39" s="47"/>
      <c r="I39" s="47"/>
      <c r="J39" s="56">
        <v>15000</v>
      </c>
      <c r="K39" s="56">
        <v>35000</v>
      </c>
      <c r="L39" s="56">
        <f>J39+K39</f>
        <v>50000</v>
      </c>
      <c r="M39" s="57">
        <f>30000-N39</f>
        <v>15000</v>
      </c>
      <c r="N39" s="50">
        <v>15000</v>
      </c>
      <c r="O39" s="58">
        <f t="shared" si="0"/>
        <v>30000</v>
      </c>
      <c r="P39" s="59">
        <v>50000</v>
      </c>
      <c r="Q39" s="201">
        <v>34000</v>
      </c>
      <c r="R39" s="53">
        <v>16000</v>
      </c>
      <c r="S39" s="9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</row>
    <row r="40" spans="1:29" ht="15.75">
      <c r="A40" s="126" t="s">
        <v>58</v>
      </c>
      <c r="B40" s="127"/>
      <c r="C40" s="127"/>
      <c r="D40" s="127"/>
      <c r="E40" s="45"/>
      <c r="F40" s="45"/>
      <c r="G40" s="55">
        <v>336679</v>
      </c>
      <c r="H40" s="47"/>
      <c r="I40" s="47"/>
      <c r="J40" s="56">
        <v>10000</v>
      </c>
      <c r="K40" s="56">
        <v>220000</v>
      </c>
      <c r="L40" s="56">
        <f>J40+K40</f>
        <v>230000</v>
      </c>
      <c r="M40" s="57">
        <f>40000-N40</f>
        <v>20000</v>
      </c>
      <c r="N40" s="50">
        <v>20000</v>
      </c>
      <c r="O40" s="58">
        <f t="shared" si="0"/>
        <v>40000</v>
      </c>
      <c r="P40" s="59">
        <v>40000</v>
      </c>
      <c r="Q40" s="201">
        <v>20000</v>
      </c>
      <c r="R40" s="53">
        <v>20000</v>
      </c>
      <c r="S40" s="9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</row>
    <row r="41" spans="1:29" s="19" customFormat="1" ht="15.75">
      <c r="A41" s="137" t="s">
        <v>23</v>
      </c>
      <c r="B41" s="138"/>
      <c r="C41" s="138"/>
      <c r="D41" s="138"/>
      <c r="E41" s="60"/>
      <c r="F41" s="60"/>
      <c r="G41" s="61"/>
      <c r="H41" s="62"/>
      <c r="I41" s="62"/>
      <c r="J41" s="64"/>
      <c r="K41" s="64"/>
      <c r="L41" s="64"/>
      <c r="M41" s="65"/>
      <c r="N41" s="66"/>
      <c r="O41" s="58"/>
      <c r="P41" s="59"/>
      <c r="Q41" s="203"/>
      <c r="R41" s="68"/>
      <c r="S41" s="234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</row>
    <row r="42" spans="1:29" ht="15.75">
      <c r="A42" s="126" t="s">
        <v>24</v>
      </c>
      <c r="B42" s="127"/>
      <c r="C42" s="127"/>
      <c r="D42" s="127"/>
      <c r="E42" s="45"/>
      <c r="F42" s="45"/>
      <c r="G42" s="55">
        <v>4651.5</v>
      </c>
      <c r="H42" s="47"/>
      <c r="I42" s="47"/>
      <c r="J42" s="56"/>
      <c r="K42" s="56">
        <v>10000</v>
      </c>
      <c r="L42" s="56">
        <f>J42+K42</f>
        <v>10000</v>
      </c>
      <c r="M42" s="57">
        <v>2000</v>
      </c>
      <c r="N42" s="50">
        <v>0</v>
      </c>
      <c r="O42" s="58">
        <f>M42+N42</f>
        <v>2000</v>
      </c>
      <c r="P42" s="59">
        <v>2000</v>
      </c>
      <c r="Q42" s="201">
        <v>2000</v>
      </c>
      <c r="R42" s="53"/>
      <c r="S42" s="9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</row>
    <row r="43" spans="1:29" ht="15.75">
      <c r="A43" s="54" t="s">
        <v>25</v>
      </c>
      <c r="B43" s="45"/>
      <c r="C43" s="45"/>
      <c r="D43" s="45"/>
      <c r="E43" s="45"/>
      <c r="F43" s="45"/>
      <c r="G43" s="55">
        <v>45346</v>
      </c>
      <c r="H43" s="47"/>
      <c r="I43" s="47"/>
      <c r="J43" s="56">
        <v>40000</v>
      </c>
      <c r="K43" s="56">
        <v>30000</v>
      </c>
      <c r="L43" s="56">
        <f>J43+K43</f>
        <v>70000</v>
      </c>
      <c r="M43" s="57">
        <f>20000-N43</f>
        <v>2000</v>
      </c>
      <c r="N43" s="50">
        <v>18000</v>
      </c>
      <c r="O43" s="58">
        <f>M43+N43</f>
        <v>20000</v>
      </c>
      <c r="P43" s="59">
        <v>20000</v>
      </c>
      <c r="Q43" s="201">
        <v>10000</v>
      </c>
      <c r="R43" s="53">
        <v>10000</v>
      </c>
      <c r="S43" s="9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</row>
    <row r="44" spans="1:29" ht="15.75">
      <c r="A44" s="54" t="s">
        <v>59</v>
      </c>
      <c r="B44" s="45"/>
      <c r="C44" s="45"/>
      <c r="D44" s="45"/>
      <c r="E44" s="45"/>
      <c r="F44" s="45"/>
      <c r="G44" s="55">
        <v>12534.17</v>
      </c>
      <c r="H44" s="47"/>
      <c r="I44" s="47"/>
      <c r="J44" s="56"/>
      <c r="K44" s="56">
        <v>10000</v>
      </c>
      <c r="L44" s="56">
        <f>K44</f>
        <v>10000</v>
      </c>
      <c r="M44" s="57">
        <v>10000</v>
      </c>
      <c r="N44" s="50">
        <v>0</v>
      </c>
      <c r="O44" s="58">
        <f>M44+N44</f>
        <v>10000</v>
      </c>
      <c r="P44" s="59">
        <v>10000</v>
      </c>
      <c r="Q44" s="201">
        <v>10000</v>
      </c>
      <c r="R44" s="53"/>
      <c r="S44" s="9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</row>
    <row r="45" spans="1:29" ht="15.75">
      <c r="A45" s="54" t="s">
        <v>26</v>
      </c>
      <c r="B45" s="45"/>
      <c r="C45" s="45"/>
      <c r="D45" s="45"/>
      <c r="E45" s="45"/>
      <c r="F45" s="45"/>
      <c r="G45" s="55">
        <v>4200</v>
      </c>
      <c r="H45" s="47"/>
      <c r="I45" s="47"/>
      <c r="J45" s="56"/>
      <c r="K45" s="56">
        <v>15000</v>
      </c>
      <c r="L45" s="56">
        <f>J45+K45</f>
        <v>15000</v>
      </c>
      <c r="M45" s="57">
        <v>15000</v>
      </c>
      <c r="N45" s="50">
        <v>0</v>
      </c>
      <c r="O45" s="58">
        <f>M45+N45</f>
        <v>15000</v>
      </c>
      <c r="P45" s="59">
        <v>15000</v>
      </c>
      <c r="Q45" s="201">
        <v>15000</v>
      </c>
      <c r="R45" s="53"/>
      <c r="S45" s="9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</row>
    <row r="46" spans="1:29" s="27" customFormat="1" ht="16.5" thickBot="1">
      <c r="A46" s="54" t="s">
        <v>27</v>
      </c>
      <c r="B46" s="121"/>
      <c r="C46" s="121"/>
      <c r="D46" s="121"/>
      <c r="E46" s="121"/>
      <c r="F46" s="121"/>
      <c r="G46" s="46" t="e">
        <f>SUM(G47:G47:G48:G49:#REF!)</f>
        <v>#REF!</v>
      </c>
      <c r="H46" s="122"/>
      <c r="I46" s="122"/>
      <c r="J46" s="123">
        <f>SUM(J47:J51)</f>
        <v>17000</v>
      </c>
      <c r="K46" s="123">
        <f>SUM(K47:K51)</f>
        <v>168000</v>
      </c>
      <c r="L46" s="123">
        <f>SUM(L47:L51)</f>
        <v>185000</v>
      </c>
      <c r="M46" s="124"/>
      <c r="N46" s="139"/>
      <c r="O46" s="58"/>
      <c r="P46" s="197"/>
      <c r="Q46" s="200"/>
      <c r="R46" s="125"/>
      <c r="S46" s="234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</row>
    <row r="47" spans="1:19" ht="15.75">
      <c r="A47" s="54" t="s">
        <v>28</v>
      </c>
      <c r="B47" s="69"/>
      <c r="C47" s="69"/>
      <c r="D47" s="69"/>
      <c r="E47" s="69"/>
      <c r="F47" s="69"/>
      <c r="G47" s="55">
        <v>3501</v>
      </c>
      <c r="H47" s="70"/>
      <c r="I47" s="70"/>
      <c r="J47" s="56">
        <v>15000</v>
      </c>
      <c r="K47" s="56"/>
      <c r="L47" s="56">
        <f aca="true" t="shared" si="1" ref="L47:L56">J47+K47</f>
        <v>15000</v>
      </c>
      <c r="M47" s="57">
        <f>10000-N47</f>
        <v>0</v>
      </c>
      <c r="N47" s="50">
        <v>10000</v>
      </c>
      <c r="O47" s="58">
        <f aca="true" t="shared" si="2" ref="O47:O56">M47+N47</f>
        <v>10000</v>
      </c>
      <c r="P47" s="59">
        <v>10000</v>
      </c>
      <c r="Q47" s="201">
        <v>10000</v>
      </c>
      <c r="R47" s="53"/>
      <c r="S47" s="28"/>
    </row>
    <row r="48" spans="1:19" ht="15.75">
      <c r="A48" s="54" t="s">
        <v>29</v>
      </c>
      <c r="B48" s="45"/>
      <c r="C48" s="45"/>
      <c r="D48" s="45"/>
      <c r="E48" s="45"/>
      <c r="F48" s="45"/>
      <c r="G48" s="55">
        <v>7140</v>
      </c>
      <c r="H48" s="47"/>
      <c r="I48" s="47"/>
      <c r="J48" s="56"/>
      <c r="K48" s="56">
        <v>10000</v>
      </c>
      <c r="L48" s="56">
        <f t="shared" si="1"/>
        <v>10000</v>
      </c>
      <c r="M48" s="57">
        <v>10000</v>
      </c>
      <c r="N48" s="50">
        <v>0</v>
      </c>
      <c r="O48" s="58">
        <f t="shared" si="2"/>
        <v>10000</v>
      </c>
      <c r="P48" s="59">
        <v>10000</v>
      </c>
      <c r="Q48" s="201">
        <v>10000</v>
      </c>
      <c r="R48" s="53"/>
      <c r="S48" s="28"/>
    </row>
    <row r="49" spans="1:19" ht="15.75">
      <c r="A49" s="54" t="s">
        <v>30</v>
      </c>
      <c r="B49" s="45"/>
      <c r="C49" s="45"/>
      <c r="D49" s="45"/>
      <c r="E49" s="45"/>
      <c r="F49" s="45"/>
      <c r="G49" s="55">
        <v>10642.5</v>
      </c>
      <c r="H49" s="47"/>
      <c r="I49" s="47"/>
      <c r="J49" s="56"/>
      <c r="K49" s="56">
        <v>8000</v>
      </c>
      <c r="L49" s="56">
        <f t="shared" si="1"/>
        <v>8000</v>
      </c>
      <c r="M49" s="57">
        <v>10000</v>
      </c>
      <c r="N49" s="50">
        <v>0</v>
      </c>
      <c r="O49" s="58">
        <f t="shared" si="2"/>
        <v>10000</v>
      </c>
      <c r="P49" s="59">
        <v>10000</v>
      </c>
      <c r="Q49" s="201">
        <v>10000</v>
      </c>
      <c r="R49" s="53"/>
      <c r="S49" s="28"/>
    </row>
    <row r="50" spans="1:19" ht="15.75">
      <c r="A50" s="54" t="s">
        <v>31</v>
      </c>
      <c r="B50" s="45"/>
      <c r="C50" s="45"/>
      <c r="D50" s="45"/>
      <c r="E50" s="45"/>
      <c r="F50" s="45"/>
      <c r="G50" s="55"/>
      <c r="H50" s="47"/>
      <c r="I50" s="47"/>
      <c r="J50" s="56">
        <v>2000</v>
      </c>
      <c r="K50" s="56"/>
      <c r="L50" s="56">
        <f t="shared" si="1"/>
        <v>2000</v>
      </c>
      <c r="M50" s="57">
        <v>0</v>
      </c>
      <c r="N50" s="50">
        <v>2000</v>
      </c>
      <c r="O50" s="58">
        <f t="shared" si="2"/>
        <v>2000</v>
      </c>
      <c r="P50" s="59">
        <v>2000</v>
      </c>
      <c r="Q50" s="201"/>
      <c r="R50" s="53">
        <v>2000</v>
      </c>
      <c r="S50" s="28"/>
    </row>
    <row r="51" spans="1:19" ht="15.75">
      <c r="A51" s="54" t="s">
        <v>32</v>
      </c>
      <c r="B51" s="45"/>
      <c r="C51" s="45"/>
      <c r="D51" s="45"/>
      <c r="E51" s="45"/>
      <c r="F51" s="45"/>
      <c r="G51" s="55"/>
      <c r="H51" s="47"/>
      <c r="I51" s="47"/>
      <c r="J51" s="56"/>
      <c r="K51" s="56">
        <v>150000</v>
      </c>
      <c r="L51" s="56">
        <f t="shared" si="1"/>
        <v>150000</v>
      </c>
      <c r="M51" s="57">
        <v>120000</v>
      </c>
      <c r="N51" s="50">
        <v>0</v>
      </c>
      <c r="O51" s="58">
        <f t="shared" si="2"/>
        <v>120000</v>
      </c>
      <c r="P51" s="59">
        <v>120000</v>
      </c>
      <c r="Q51" s="201">
        <v>120000</v>
      </c>
      <c r="R51" s="53"/>
      <c r="S51" s="28"/>
    </row>
    <row r="52" spans="1:19" ht="15.75">
      <c r="A52" s="54" t="s">
        <v>33</v>
      </c>
      <c r="B52" s="45"/>
      <c r="C52" s="45"/>
      <c r="D52" s="45"/>
      <c r="E52" s="45"/>
      <c r="F52" s="45"/>
      <c r="G52" s="55"/>
      <c r="H52" s="47"/>
      <c r="I52" s="47"/>
      <c r="J52" s="56">
        <v>45000</v>
      </c>
      <c r="K52" s="56"/>
      <c r="L52" s="56">
        <f t="shared" si="1"/>
        <v>45000</v>
      </c>
      <c r="M52" s="57">
        <v>0</v>
      </c>
      <c r="N52" s="50">
        <v>40000</v>
      </c>
      <c r="O52" s="58">
        <f t="shared" si="2"/>
        <v>40000</v>
      </c>
      <c r="P52" s="59">
        <v>40000</v>
      </c>
      <c r="Q52" s="201">
        <v>0</v>
      </c>
      <c r="R52" s="53">
        <v>40000</v>
      </c>
      <c r="S52" s="28"/>
    </row>
    <row r="53" spans="1:19" ht="15.75">
      <c r="A53" s="54" t="s">
        <v>60</v>
      </c>
      <c r="B53" s="45"/>
      <c r="C53" s="45"/>
      <c r="D53" s="45"/>
      <c r="E53" s="45"/>
      <c r="F53" s="45"/>
      <c r="G53" s="55">
        <v>1812</v>
      </c>
      <c r="H53" s="47"/>
      <c r="I53" s="47"/>
      <c r="J53" s="56">
        <v>5000</v>
      </c>
      <c r="K53" s="56">
        <v>5000</v>
      </c>
      <c r="L53" s="56">
        <f t="shared" si="1"/>
        <v>10000</v>
      </c>
      <c r="M53" s="57">
        <v>10000</v>
      </c>
      <c r="N53" s="50">
        <v>0</v>
      </c>
      <c r="O53" s="58">
        <f t="shared" si="2"/>
        <v>10000</v>
      </c>
      <c r="P53" s="59">
        <v>15000</v>
      </c>
      <c r="Q53" s="201">
        <v>7500</v>
      </c>
      <c r="R53" s="53">
        <v>7500</v>
      </c>
      <c r="S53" s="28"/>
    </row>
    <row r="54" spans="1:19" ht="15.75">
      <c r="A54" s="54" t="s">
        <v>34</v>
      </c>
      <c r="B54" s="45"/>
      <c r="C54" s="45"/>
      <c r="D54" s="45"/>
      <c r="E54" s="45"/>
      <c r="F54" s="45"/>
      <c r="G54" s="55">
        <v>7354</v>
      </c>
      <c r="H54" s="47"/>
      <c r="I54" s="47"/>
      <c r="J54" s="56"/>
      <c r="K54" s="56">
        <v>15000</v>
      </c>
      <c r="L54" s="56">
        <f t="shared" si="1"/>
        <v>15000</v>
      </c>
      <c r="M54" s="57">
        <v>15000</v>
      </c>
      <c r="N54" s="50">
        <v>0</v>
      </c>
      <c r="O54" s="58">
        <f t="shared" si="2"/>
        <v>15000</v>
      </c>
      <c r="P54" s="59">
        <v>10000</v>
      </c>
      <c r="Q54" s="201">
        <v>5000</v>
      </c>
      <c r="R54" s="53">
        <v>5000</v>
      </c>
      <c r="S54" s="28"/>
    </row>
    <row r="55" spans="1:19" ht="15.75">
      <c r="A55" s="54" t="s">
        <v>61</v>
      </c>
      <c r="B55" s="45"/>
      <c r="C55" s="45"/>
      <c r="D55" s="45"/>
      <c r="E55" s="45"/>
      <c r="F55" s="45"/>
      <c r="G55" s="55">
        <v>64942</v>
      </c>
      <c r="H55" s="47"/>
      <c r="I55" s="47"/>
      <c r="J55" s="56">
        <v>30000</v>
      </c>
      <c r="K55" s="56">
        <v>30000</v>
      </c>
      <c r="L55" s="56">
        <f t="shared" si="1"/>
        <v>60000</v>
      </c>
      <c r="M55" s="57">
        <v>20000</v>
      </c>
      <c r="N55" s="50">
        <v>20000</v>
      </c>
      <c r="O55" s="58">
        <f t="shared" si="2"/>
        <v>40000</v>
      </c>
      <c r="P55" s="59">
        <v>50000</v>
      </c>
      <c r="Q55" s="201">
        <v>17000</v>
      </c>
      <c r="R55" s="53">
        <v>33000</v>
      </c>
      <c r="S55" s="28"/>
    </row>
    <row r="56" spans="1:19" ht="15.75">
      <c r="A56" s="54" t="s">
        <v>62</v>
      </c>
      <c r="B56" s="45"/>
      <c r="C56" s="45"/>
      <c r="D56" s="45"/>
      <c r="E56" s="45"/>
      <c r="F56" s="45"/>
      <c r="G56" s="55">
        <v>9824.5</v>
      </c>
      <c r="H56" s="47"/>
      <c r="I56" s="47"/>
      <c r="J56" s="56">
        <v>9000</v>
      </c>
      <c r="K56" s="48">
        <v>11000</v>
      </c>
      <c r="L56" s="56">
        <f t="shared" si="1"/>
        <v>20000</v>
      </c>
      <c r="M56" s="57">
        <f>15000-N56</f>
        <v>10000</v>
      </c>
      <c r="N56" s="50">
        <v>5000</v>
      </c>
      <c r="O56" s="58">
        <f t="shared" si="2"/>
        <v>15000</v>
      </c>
      <c r="P56" s="59">
        <v>15000</v>
      </c>
      <c r="Q56" s="201">
        <v>7500</v>
      </c>
      <c r="R56" s="53">
        <v>7500</v>
      </c>
      <c r="S56" s="28"/>
    </row>
    <row r="57" spans="1:18" ht="26.25">
      <c r="A57" s="54" t="s">
        <v>63</v>
      </c>
      <c r="B57" s="45"/>
      <c r="C57" s="45"/>
      <c r="D57" s="45"/>
      <c r="E57" s="45"/>
      <c r="F57" s="45"/>
      <c r="G57" s="55"/>
      <c r="H57" s="47"/>
      <c r="I57" s="47"/>
      <c r="J57" s="56"/>
      <c r="K57" s="56"/>
      <c r="L57" s="56"/>
      <c r="M57" s="57"/>
      <c r="N57" s="50"/>
      <c r="O57" s="58"/>
      <c r="P57" s="59"/>
      <c r="Q57" s="201"/>
      <c r="R57" s="53"/>
    </row>
    <row r="58" spans="1:19" ht="15.75">
      <c r="A58" s="44" t="s">
        <v>64</v>
      </c>
      <c r="B58" s="45"/>
      <c r="C58" s="45"/>
      <c r="D58" s="45"/>
      <c r="E58" s="45"/>
      <c r="F58" s="45"/>
      <c r="G58" s="55">
        <v>3200</v>
      </c>
      <c r="H58" s="47"/>
      <c r="I58" s="47"/>
      <c r="J58" s="56"/>
      <c r="K58" s="123">
        <v>3000</v>
      </c>
      <c r="L58" s="123">
        <f>J58+K58</f>
        <v>3000</v>
      </c>
      <c r="M58" s="57">
        <v>4000</v>
      </c>
      <c r="N58" s="50"/>
      <c r="O58" s="58">
        <f>M58+N58</f>
        <v>4000</v>
      </c>
      <c r="P58" s="198">
        <v>4000</v>
      </c>
      <c r="Q58" s="201">
        <v>4000</v>
      </c>
      <c r="R58" s="53"/>
      <c r="S58" s="28"/>
    </row>
    <row r="59" spans="1:18" s="14" customFormat="1" ht="15.75">
      <c r="A59" s="54" t="s">
        <v>35</v>
      </c>
      <c r="B59" s="45"/>
      <c r="C59" s="45"/>
      <c r="D59" s="45"/>
      <c r="E59" s="45"/>
      <c r="F59" s="45"/>
      <c r="G59" s="140"/>
      <c r="H59" s="47"/>
      <c r="I59" s="47"/>
      <c r="J59" s="141"/>
      <c r="K59" s="141"/>
      <c r="L59" s="56"/>
      <c r="M59" s="142"/>
      <c r="N59" s="143"/>
      <c r="O59" s="58"/>
      <c r="P59" s="199"/>
      <c r="Q59" s="204"/>
      <c r="R59" s="144"/>
    </row>
    <row r="60" spans="1:56" s="32" customFormat="1" ht="15.75">
      <c r="A60" s="215" t="s">
        <v>36</v>
      </c>
      <c r="B60" s="216"/>
      <c r="C60" s="216"/>
      <c r="D60" s="216"/>
      <c r="E60" s="216"/>
      <c r="F60" s="216"/>
      <c r="G60" s="217" t="e">
        <f>G30+G37</f>
        <v>#REF!</v>
      </c>
      <c r="H60" s="218"/>
      <c r="I60" s="218"/>
      <c r="J60" s="219" t="e">
        <f>SUM(#REF!,J37,J30)</f>
        <v>#REF!</v>
      </c>
      <c r="K60" s="219" t="e">
        <f>ROUND(SUM(K30,K37,#REF!,K58),0)</f>
        <v>#REF!</v>
      </c>
      <c r="L60" s="219" t="e">
        <f>J60+K60</f>
        <v>#REF!</v>
      </c>
      <c r="M60" s="220">
        <f>SUM(M30,M37)</f>
        <v>1212000</v>
      </c>
      <c r="N60" s="220">
        <f>SUM(N30,N37)</f>
        <v>882000</v>
      </c>
      <c r="O60" s="221">
        <f>N60+M60</f>
        <v>2094000</v>
      </c>
      <c r="P60" s="222">
        <f>SUM(P31:P58)</f>
        <v>2107000</v>
      </c>
      <c r="Q60" s="222">
        <f>SUM(Q31:Q58)</f>
        <v>1172000</v>
      </c>
      <c r="R60" s="222">
        <f>SUM(R31:R58)</f>
        <v>935000</v>
      </c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</row>
    <row r="61" spans="1:18" ht="15.75">
      <c r="A61" s="44" t="s">
        <v>70</v>
      </c>
      <c r="B61" s="45"/>
      <c r="C61" s="45"/>
      <c r="D61" s="45"/>
      <c r="E61" s="45"/>
      <c r="F61" s="45"/>
      <c r="G61" s="145"/>
      <c r="H61" s="47"/>
      <c r="I61" s="47"/>
      <c r="J61" s="48"/>
      <c r="K61" s="56"/>
      <c r="L61" s="56"/>
      <c r="M61" s="49"/>
      <c r="N61" s="50"/>
      <c r="O61" s="69"/>
      <c r="P61" s="69"/>
      <c r="Q61" s="69"/>
      <c r="R61" s="69"/>
    </row>
    <row r="62" spans="1:18" s="33" customFormat="1" ht="15.75">
      <c r="A62" s="205" t="s">
        <v>68</v>
      </c>
      <c r="B62" s="208"/>
      <c r="C62" s="208"/>
      <c r="D62" s="208"/>
      <c r="E62" s="208"/>
      <c r="F62" s="208"/>
      <c r="G62" s="209">
        <f>G26</f>
        <v>1697343.02</v>
      </c>
      <c r="H62" s="210"/>
      <c r="I62" s="210"/>
      <c r="J62" s="211">
        <f>J26</f>
        <v>7343000</v>
      </c>
      <c r="K62" s="212">
        <f>K26</f>
        <v>1336000</v>
      </c>
      <c r="L62" s="212">
        <f>L26</f>
        <v>8679000</v>
      </c>
      <c r="M62" s="213">
        <f>M26</f>
        <v>1294000</v>
      </c>
      <c r="N62" s="213">
        <f>N26</f>
        <v>882000</v>
      </c>
      <c r="O62" s="206">
        <f>N62+M62</f>
        <v>2176000</v>
      </c>
      <c r="P62" s="207">
        <f>P26</f>
        <v>2107000</v>
      </c>
      <c r="Q62" s="207">
        <f>Q26</f>
        <v>1172000</v>
      </c>
      <c r="R62" s="207">
        <f>R26</f>
        <v>935000</v>
      </c>
    </row>
    <row r="63" spans="1:18" ht="15.75">
      <c r="A63" s="205" t="s">
        <v>69</v>
      </c>
      <c r="B63" s="214"/>
      <c r="C63" s="214"/>
      <c r="D63" s="214"/>
      <c r="E63" s="214"/>
      <c r="F63" s="214"/>
      <c r="G63" s="209" t="e">
        <f>G60</f>
        <v>#REF!</v>
      </c>
      <c r="H63" s="210"/>
      <c r="I63" s="210"/>
      <c r="J63" s="211" t="e">
        <f>J60</f>
        <v>#REF!</v>
      </c>
      <c r="K63" s="211" t="e">
        <f>K60</f>
        <v>#REF!</v>
      </c>
      <c r="L63" s="212" t="e">
        <f>L60</f>
        <v>#REF!</v>
      </c>
      <c r="M63" s="213">
        <f>M60</f>
        <v>1212000</v>
      </c>
      <c r="N63" s="213">
        <f>N60</f>
        <v>882000</v>
      </c>
      <c r="O63" s="206">
        <f>N63+M63</f>
        <v>2094000</v>
      </c>
      <c r="P63" s="207">
        <f>P60</f>
        <v>2107000</v>
      </c>
      <c r="Q63" s="207">
        <f>Q60</f>
        <v>1172000</v>
      </c>
      <c r="R63" s="207">
        <f>R60</f>
        <v>935000</v>
      </c>
    </row>
    <row r="64" spans="1:18" ht="15.75">
      <c r="A64" s="205" t="s">
        <v>67</v>
      </c>
      <c r="B64" s="214"/>
      <c r="C64" s="214"/>
      <c r="D64" s="214"/>
      <c r="E64" s="214"/>
      <c r="F64" s="214"/>
      <c r="G64" s="209"/>
      <c r="H64" s="210"/>
      <c r="I64" s="210"/>
      <c r="J64" s="211"/>
      <c r="K64" s="211"/>
      <c r="L64" s="212"/>
      <c r="M64" s="213">
        <f>M62-M63</f>
        <v>82000</v>
      </c>
      <c r="N64" s="213">
        <f>N62-N63</f>
        <v>0</v>
      </c>
      <c r="O64" s="206">
        <f>N64+M64</f>
        <v>82000</v>
      </c>
      <c r="P64" s="207">
        <f>P62-P63</f>
        <v>0</v>
      </c>
      <c r="Q64" s="207">
        <f>Q62-Q63</f>
        <v>0</v>
      </c>
      <c r="R64" s="207">
        <f>R62-R63</f>
        <v>0</v>
      </c>
    </row>
    <row r="65" spans="1:18" ht="12.75">
      <c r="A65" s="172"/>
      <c r="B65" s="173"/>
      <c r="C65" s="173"/>
      <c r="D65" s="173"/>
      <c r="E65" s="173"/>
      <c r="F65" s="173"/>
      <c r="G65" s="174"/>
      <c r="H65" s="175"/>
      <c r="I65" s="175"/>
      <c r="J65" s="176"/>
      <c r="K65" s="177"/>
      <c r="L65" s="177"/>
      <c r="M65" s="178"/>
      <c r="N65" s="179"/>
      <c r="O65" s="180"/>
      <c r="P65" s="181"/>
      <c r="Q65" s="182"/>
      <c r="R65" s="183"/>
    </row>
    <row r="66" spans="1:18" ht="15.75">
      <c r="A66" s="184" t="s">
        <v>74</v>
      </c>
      <c r="B66" s="185"/>
      <c r="C66" s="185"/>
      <c r="D66" s="185"/>
      <c r="E66" s="185"/>
      <c r="F66" s="185"/>
      <c r="G66" s="186" t="e">
        <f>G37-#REF!</f>
        <v>#REF!</v>
      </c>
      <c r="H66" s="186"/>
      <c r="I66" s="186"/>
      <c r="J66" s="187"/>
      <c r="K66" s="187"/>
      <c r="L66" s="188">
        <v>318364.62</v>
      </c>
      <c r="M66" s="189">
        <f>318364.62+O64</f>
        <v>400364.62</v>
      </c>
      <c r="N66" s="190"/>
      <c r="O66" s="191">
        <v>338150</v>
      </c>
      <c r="P66" s="192"/>
      <c r="Q66" s="193"/>
      <c r="R66" s="194"/>
    </row>
    <row r="67" spans="1:15" ht="12.75">
      <c r="A67" s="195" t="s">
        <v>39</v>
      </c>
      <c r="B67" s="14"/>
      <c r="C67" s="14"/>
      <c r="D67" s="14"/>
      <c r="E67" s="14"/>
      <c r="F67" s="14"/>
      <c r="G67" s="17"/>
      <c r="H67" s="15"/>
      <c r="I67" s="15"/>
      <c r="L67" s="34" t="s">
        <v>37</v>
      </c>
      <c r="M67" s="170" t="s">
        <v>38</v>
      </c>
      <c r="N67" s="171"/>
      <c r="O67" s="169"/>
    </row>
    <row r="68" spans="1:15" ht="12.75">
      <c r="A68" s="13"/>
      <c r="B68" s="14"/>
      <c r="C68" s="14"/>
      <c r="D68" s="14"/>
      <c r="E68" s="14"/>
      <c r="F68" s="14"/>
      <c r="G68" s="30"/>
      <c r="N68" s="167"/>
      <c r="O68" s="169"/>
    </row>
    <row r="69" spans="7:15" ht="12.75">
      <c r="G69" s="17"/>
      <c r="N69" s="167"/>
      <c r="O69" s="169"/>
    </row>
    <row r="70" spans="1:15" ht="15">
      <c r="A70" s="243" t="s">
        <v>40</v>
      </c>
      <c r="B70" s="244"/>
      <c r="C70" s="244"/>
      <c r="D70" s="244"/>
      <c r="E70" s="244"/>
      <c r="F70" s="244"/>
      <c r="G70" s="244"/>
      <c r="H70" s="244"/>
      <c r="I70" s="244"/>
      <c r="J70" s="245"/>
      <c r="K70" s="246"/>
      <c r="L70" s="246"/>
      <c r="M70" s="247"/>
      <c r="N70" s="248"/>
      <c r="O70" s="249"/>
    </row>
    <row r="71" spans="1:15" ht="15">
      <c r="A71" s="250" t="s">
        <v>41</v>
      </c>
      <c r="B71" s="244"/>
      <c r="C71" s="244"/>
      <c r="D71" s="244"/>
      <c r="E71" s="244"/>
      <c r="F71" s="244"/>
      <c r="G71" s="244"/>
      <c r="H71" s="244"/>
      <c r="I71" s="244"/>
      <c r="J71" s="245"/>
      <c r="K71" s="246"/>
      <c r="L71" s="246"/>
      <c r="M71" s="247"/>
      <c r="N71" s="248"/>
      <c r="O71" s="249"/>
    </row>
    <row r="72" spans="1:15" ht="15">
      <c r="A72" s="250" t="s">
        <v>42</v>
      </c>
      <c r="B72" s="244"/>
      <c r="C72" s="244"/>
      <c r="D72" s="244"/>
      <c r="E72" s="244"/>
      <c r="F72" s="244"/>
      <c r="G72" s="244"/>
      <c r="H72" s="244"/>
      <c r="I72" s="244"/>
      <c r="J72" s="245"/>
      <c r="K72" s="246"/>
      <c r="L72" s="246"/>
      <c r="M72" s="247"/>
      <c r="N72" s="248"/>
      <c r="O72" s="249"/>
    </row>
    <row r="73" spans="1:15" ht="15">
      <c r="A73" s="250" t="s">
        <v>65</v>
      </c>
      <c r="B73" s="244"/>
      <c r="C73" s="244"/>
      <c r="D73" s="244"/>
      <c r="E73" s="244"/>
      <c r="F73" s="244"/>
      <c r="G73" s="244"/>
      <c r="H73" s="244"/>
      <c r="I73" s="244"/>
      <c r="J73" s="245"/>
      <c r="K73" s="246"/>
      <c r="L73" s="246"/>
      <c r="M73" s="247"/>
      <c r="N73" s="248"/>
      <c r="O73" s="249"/>
    </row>
    <row r="74" spans="1:15" ht="15">
      <c r="A74" s="250"/>
      <c r="B74" s="244"/>
      <c r="C74" s="244"/>
      <c r="D74" s="244"/>
      <c r="E74" s="244"/>
      <c r="F74" s="244"/>
      <c r="G74" s="244"/>
      <c r="H74" s="244"/>
      <c r="I74" s="244"/>
      <c r="J74" s="245"/>
      <c r="K74" s="246"/>
      <c r="L74" s="246"/>
      <c r="M74" s="247"/>
      <c r="N74" s="248"/>
      <c r="O74" s="249"/>
    </row>
    <row r="75" spans="1:15" ht="15">
      <c r="A75" s="243" t="s">
        <v>43</v>
      </c>
      <c r="B75" s="244"/>
      <c r="C75" s="244"/>
      <c r="D75" s="244"/>
      <c r="E75" s="244"/>
      <c r="F75" s="244"/>
      <c r="G75" s="244"/>
      <c r="H75" s="244"/>
      <c r="I75" s="244"/>
      <c r="J75" s="245"/>
      <c r="K75" s="246"/>
      <c r="L75" s="246"/>
      <c r="M75" s="247"/>
      <c r="N75" s="248"/>
      <c r="O75" s="249"/>
    </row>
    <row r="76" spans="1:15" ht="15">
      <c r="A76" s="250" t="s">
        <v>44</v>
      </c>
      <c r="B76" s="244"/>
      <c r="C76" s="244"/>
      <c r="D76" s="244"/>
      <c r="E76" s="244"/>
      <c r="F76" s="244"/>
      <c r="G76" s="244"/>
      <c r="H76" s="244"/>
      <c r="I76" s="244"/>
      <c r="J76" s="245"/>
      <c r="K76" s="246"/>
      <c r="L76" s="246"/>
      <c r="M76" s="247"/>
      <c r="N76" s="248"/>
      <c r="O76" s="249"/>
    </row>
    <row r="77" spans="1:15" ht="15">
      <c r="A77" s="250" t="s">
        <v>66</v>
      </c>
      <c r="B77" s="244"/>
      <c r="C77" s="244"/>
      <c r="D77" s="244"/>
      <c r="E77" s="244"/>
      <c r="F77" s="244"/>
      <c r="G77" s="244"/>
      <c r="H77" s="244"/>
      <c r="I77" s="244"/>
      <c r="J77" s="245"/>
      <c r="K77" s="246"/>
      <c r="L77" s="246"/>
      <c r="M77" s="247"/>
      <c r="N77" s="248"/>
      <c r="O77" s="249"/>
    </row>
    <row r="78" spans="1:15" ht="15">
      <c r="A78" s="250" t="s">
        <v>45</v>
      </c>
      <c r="B78" s="244"/>
      <c r="C78" s="244"/>
      <c r="D78" s="244"/>
      <c r="E78" s="244"/>
      <c r="F78" s="244"/>
      <c r="G78" s="244"/>
      <c r="H78" s="244"/>
      <c r="I78" s="244"/>
      <c r="J78" s="245"/>
      <c r="K78" s="246"/>
      <c r="L78" s="246"/>
      <c r="M78" s="247"/>
      <c r="N78" s="248"/>
      <c r="O78" s="249"/>
    </row>
    <row r="79" spans="1:15" ht="15">
      <c r="A79" s="250" t="s">
        <v>46</v>
      </c>
      <c r="B79" s="244"/>
      <c r="C79" s="244"/>
      <c r="D79" s="244"/>
      <c r="E79" s="244"/>
      <c r="F79" s="244"/>
      <c r="G79" s="244"/>
      <c r="H79" s="244"/>
      <c r="I79" s="244"/>
      <c r="J79" s="245"/>
      <c r="K79" s="246"/>
      <c r="L79" s="246"/>
      <c r="M79" s="247"/>
      <c r="N79" s="248"/>
      <c r="O79" s="249"/>
    </row>
    <row r="80" spans="14:15" ht="12.75">
      <c r="N80" s="167"/>
      <c r="O80" s="168"/>
    </row>
    <row r="81" spans="14:15" ht="12.75">
      <c r="N81" s="167"/>
      <c r="O81" s="168"/>
    </row>
    <row r="82" spans="14:15" ht="12.75">
      <c r="N82" s="167"/>
      <c r="O82" s="168"/>
    </row>
    <row r="83" spans="14:15" ht="12.75">
      <c r="N83" s="167"/>
      <c r="O83" s="168"/>
    </row>
    <row r="84" spans="14:15" ht="12.75">
      <c r="N84" s="167"/>
      <c r="O84" s="168"/>
    </row>
    <row r="85" spans="14:15" ht="12.75">
      <c r="N85" s="167"/>
      <c r="O85" s="168"/>
    </row>
    <row r="86" spans="14:15" ht="12.75">
      <c r="N86" s="167"/>
      <c r="O86" s="168"/>
    </row>
    <row r="87" spans="14:15" ht="12.75">
      <c r="N87" s="167"/>
      <c r="O87" s="168"/>
    </row>
    <row r="88" spans="14:15" ht="12.75">
      <c r="N88" s="167"/>
      <c r="O88" s="168"/>
    </row>
    <row r="89" spans="14:15" ht="12.75">
      <c r="N89" s="167"/>
      <c r="O89" s="168"/>
    </row>
    <row r="90" spans="14:15" ht="12.75">
      <c r="N90" s="167"/>
      <c r="O90" s="168"/>
    </row>
    <row r="91" spans="14:15" ht="12.75">
      <c r="N91" s="167"/>
      <c r="O91" s="168"/>
    </row>
    <row r="92" spans="14:15" ht="12.75">
      <c r="N92" s="167"/>
      <c r="O92" s="168"/>
    </row>
    <row r="93" spans="14:15" ht="12.75">
      <c r="N93" s="167"/>
      <c r="O93" s="168"/>
    </row>
  </sheetData>
  <sheetProtection selectLockedCells="1" selectUnlockedCells="1"/>
  <mergeCells count="1">
    <mergeCell ref="A1:R1"/>
  </mergeCells>
  <printOptions/>
  <pageMargins left="0.5513888888888889" right="0.56" top="0.9840277777777777" bottom="0.9840277777777777" header="0.5118055555555555" footer="0.5118055555555555"/>
  <pageSetup fitToHeight="2" horizontalDpi="300" verticalDpi="300" orientation="portrait" paperSize="9" scale="62" r:id="rId1"/>
  <rowBreaks count="1" manualBreakCount="1">
    <brk id="6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D15"/>
  <sheetViews>
    <sheetView view="pageBreakPreview" zoomScale="128" zoomScaleSheetLayoutView="128" workbookViewId="0" topLeftCell="A1">
      <selection activeCell="C13" sqref="C13"/>
    </sheetView>
  </sheetViews>
  <sheetFormatPr defaultColWidth="9.00390625" defaultRowHeight="12.75"/>
  <cols>
    <col min="2" max="2" width="27.625" style="0" customWidth="1"/>
    <col min="3" max="3" width="56.375" style="0" customWidth="1"/>
  </cols>
  <sheetData>
    <row r="1" ht="14.25">
      <c r="B1" s="35"/>
    </row>
    <row r="2" ht="14.25">
      <c r="B2" s="36"/>
    </row>
    <row r="3" spans="2:3" ht="14.25">
      <c r="B3" s="37">
        <v>320000</v>
      </c>
      <c r="C3" s="254"/>
    </row>
    <row r="4" spans="2:3" ht="14.25">
      <c r="B4" s="38">
        <v>240000</v>
      </c>
      <c r="C4" s="254"/>
    </row>
    <row r="5" spans="2:4" ht="14.25">
      <c r="B5" s="39">
        <v>240000</v>
      </c>
      <c r="C5" s="254"/>
      <c r="D5" s="40">
        <f>C3*12</f>
        <v>0</v>
      </c>
    </row>
    <row r="6" spans="2:3" ht="14.25">
      <c r="B6" s="39">
        <f>12*14500</f>
        <v>174000</v>
      </c>
      <c r="C6" s="41"/>
    </row>
    <row r="7" spans="2:3" ht="14.25">
      <c r="B7" s="39"/>
      <c r="C7" s="41"/>
    </row>
    <row r="8" spans="2:3" ht="14.25">
      <c r="B8" s="39">
        <f>15500*6</f>
        <v>93000</v>
      </c>
      <c r="C8" s="41"/>
    </row>
    <row r="9" spans="2:3" ht="14.25">
      <c r="B9" s="39">
        <f>SUM(B6,B8,B5,B4,B3)</f>
        <v>1067000</v>
      </c>
      <c r="C9" s="41">
        <f>B9*1.35</f>
        <v>1440450</v>
      </c>
    </row>
    <row r="10" spans="2:3" ht="14.25">
      <c r="B10" s="39"/>
      <c r="C10" s="41">
        <f>B9*0.09</f>
        <v>96030</v>
      </c>
    </row>
    <row r="11" spans="2:3" ht="14.25">
      <c r="B11" s="39">
        <f>(B4+B5*1.35)*0.75</f>
        <v>423000</v>
      </c>
      <c r="C11" s="41"/>
    </row>
    <row r="12" spans="2:3" ht="14.25">
      <c r="B12" s="39"/>
      <c r="C12" s="41">
        <f>55*0.55*251*2*0.75</f>
        <v>11389.125000000002</v>
      </c>
    </row>
    <row r="13" ht="14.25">
      <c r="B13" s="36"/>
    </row>
    <row r="14" ht="12.75">
      <c r="B14" s="40">
        <f>55*0.55*251*4</f>
        <v>30371.000000000004</v>
      </c>
    </row>
    <row r="15" ht="12.75">
      <c r="B15" s="40">
        <f>3500*12</f>
        <v>42000</v>
      </c>
    </row>
  </sheetData>
  <sheetProtection selectLockedCells="1" selectUnlockedCells="1"/>
  <mergeCells count="1">
    <mergeCell ref="C3:C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28" zoomScaleSheetLayoutView="128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Lipský</dc:creator>
  <cp:keywords/>
  <dc:description/>
  <cp:lastModifiedBy>Euroregion Labe</cp:lastModifiedBy>
  <cp:lastPrinted>2011-03-09T12:31:44Z</cp:lastPrinted>
  <dcterms:created xsi:type="dcterms:W3CDTF">2001-02-22T14:27:19Z</dcterms:created>
  <dcterms:modified xsi:type="dcterms:W3CDTF">2011-03-09T12:32:29Z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-1334022971</vt:i4>
  </property>
  <property fmtid="{D5CDD505-2E9C-101B-9397-08002B2CF9AE}" pid="3" name="_ReviewingToolsShownOnce">
    <vt:lpwstr/>
  </property>
</Properties>
</file>