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'List1'!$A$1:$M$136</definedName>
  </definedNames>
  <calcPr fullCalcOnLoad="1"/>
</workbook>
</file>

<file path=xl/sharedStrings.xml><?xml version="1.0" encoding="utf-8"?>
<sst xmlns="http://schemas.openxmlformats.org/spreadsheetml/2006/main" count="83" uniqueCount="82">
  <si>
    <t>PŘÍJMY  CELKEM</t>
  </si>
  <si>
    <t>VÝDAJE CELKEM</t>
  </si>
  <si>
    <t>Souhrn :</t>
  </si>
  <si>
    <t>Příjmy celkem :</t>
  </si>
  <si>
    <t>Výdaje celkem:</t>
  </si>
  <si>
    <t>smlouvy s předmětem plnění o ceně vyšší než 50 000,- Kč. V tomto případě jednají jménem předseda</t>
  </si>
  <si>
    <t>a ředitel společně, a jejich jednání musí být odsouhlaseno usnesením rady EL v předmětné věci.</t>
  </si>
  <si>
    <t xml:space="preserve">Jakákoliv částka k úhradě musí být podepsána min. 2 podpisy a to: ředitel a předseda Rady EL </t>
  </si>
  <si>
    <t>zasedání.</t>
  </si>
  <si>
    <t xml:space="preserve">2.2.    Náklady na chod kanceláře   </t>
  </si>
  <si>
    <t>nebo místopředsedové EL. S tímto výdajem bude vždy seznámena Rada EL na nejbližším</t>
  </si>
  <si>
    <t>Komentář k čerpání finančních prostředků ze zůstatku z minulého účetního období</t>
  </si>
  <si>
    <t>Se zůstatkem z minulého účetního období je možno disponovat v souladu se stanovami takto:</t>
  </si>
  <si>
    <t>2.2.3.  nákup materiálu - 6171 5139</t>
  </si>
  <si>
    <t xml:space="preserve">2.1.    Náklady na pracovníky sekretariátu </t>
  </si>
  <si>
    <t>2.1.1 platy zaměstnanců - 6171 5011</t>
  </si>
  <si>
    <t>2.1.2 sociální pojistění - 6171 5031</t>
  </si>
  <si>
    <t>2.1.3 zdravotní pojištění - 6171 5032</t>
  </si>
  <si>
    <t>2.1.4 pojištění povinné - 6171 5038</t>
  </si>
  <si>
    <t xml:space="preserve">2.2.1.  služby pošt - 6171 5161 </t>
  </si>
  <si>
    <t>2.2.2 služby telekomunikací - 6171 5162</t>
  </si>
  <si>
    <t>2.2.4 knihy, učební pomůcky, tisk - 6171 5136</t>
  </si>
  <si>
    <t>2.2.5 drobný hmotný dlouhodobý majetek - 6171 5137</t>
  </si>
  <si>
    <t>2.2.8 nákup ostatních služeb - 6171 5169</t>
  </si>
  <si>
    <t xml:space="preserve">1.1 neivestiční přijaté dotace od obcí - 4121 </t>
  </si>
  <si>
    <t>1.5 přijaté nekápitálové přísp. a náhrady - 6171 2324</t>
  </si>
  <si>
    <t>1.2 neinvestiční přijaté dotace od krajů - 4122</t>
  </si>
  <si>
    <t>(pojištění organizace)</t>
  </si>
  <si>
    <t>1.6 příjmy z prodeje zboží - 6171 2112</t>
  </si>
  <si>
    <t xml:space="preserve">1.7 příjmy z úroků - 6310 2141 </t>
  </si>
  <si>
    <t>1.8 příjmy z poskytování služeb a výrobků - 6171 2111</t>
  </si>
  <si>
    <t xml:space="preserve">2.2.6.  služby peněžních ústavů - 6310 5163 </t>
  </si>
  <si>
    <t>skutečnost v r. 2005</t>
  </si>
  <si>
    <t>Rezerva rozpočtu: viz komentář</t>
  </si>
  <si>
    <t>Komentář k čerpání finančních prostředků z rezervy rozpočtu</t>
  </si>
  <si>
    <t>Z rezervy rozpočtu mohou být dle platných stanov (čl. VII. Bod 7.4) hrazeny náklady nebo být uzavírány</t>
  </si>
  <si>
    <t>Skutečnost v r. 2005</t>
  </si>
  <si>
    <t>2.2.10.  údržba a opravy - 6171 5171</t>
  </si>
  <si>
    <t>2.2.11 programové vybavení - 6171 5172</t>
  </si>
  <si>
    <t xml:space="preserve">2.2.13 cestovné tuzemské a zahraniční - 6112 5173 </t>
  </si>
  <si>
    <t>2.2.14 pohoštění - 6171 5175</t>
  </si>
  <si>
    <t xml:space="preserve">Rozpočet Euroregionu Labe </t>
  </si>
  <si>
    <t>1.3. neinvestiční převody z Národního fondu - 4118</t>
  </si>
  <si>
    <t>1.9 převody z rozpočtových účtů - 4134</t>
  </si>
  <si>
    <t>2.2.9 nájemné kanceláře FMP - 6171 5164</t>
  </si>
  <si>
    <t>2.2.7 služby zpracování dat, mezd - 6171 5168</t>
  </si>
  <si>
    <t>1.4  ostatní neinvestiční přijaté transfery ze státního rozpočtu - 4116 jedná se o příjem z programu EU Cíl 3 ČR- Sasko</t>
  </si>
  <si>
    <t>celkem</t>
  </si>
  <si>
    <t xml:space="preserve">1.1.1 členské příspěvky </t>
  </si>
  <si>
    <t>jedná se o příjem ze saské strany EEL; podíl spolufinancování projektu KUKA</t>
  </si>
  <si>
    <t>2. Výdaje  2009</t>
  </si>
  <si>
    <t>(prodej kulturních pasů EL v roce 2008 prodáno 1700 ks)</t>
  </si>
  <si>
    <t>kancelář EL</t>
  </si>
  <si>
    <t>FMP administrace</t>
  </si>
  <si>
    <t>2.3. ostatní neinvest. transfery do zahr. (členství v AGEG) - 6171 5532</t>
  </si>
  <si>
    <t>2.4 platby daní a poplatků  - 6171 5362</t>
  </si>
  <si>
    <t xml:space="preserve">2.2.8.1 www stránky aktualizace, doména </t>
  </si>
  <si>
    <t>2.2.8.2 audit hospodaření EL</t>
  </si>
  <si>
    <t>2.2.8.3 stravenky</t>
  </si>
  <si>
    <t>2.2.8.4 kancelář FMP - úklid kanceláře</t>
  </si>
  <si>
    <t>2.2.8.5 projekt FMP Kultturní a sport. Kalendář EEL</t>
  </si>
  <si>
    <t>Po doporuční byla původní položka 350.000 rozdělena do dvou nákup materiálu a nákup služeb. V této položce Nákup služeb jsou zařazeni redaktoři.</t>
  </si>
  <si>
    <t>položka snížena oproti minulému roku o 20 tisíc</t>
  </si>
  <si>
    <t>Rozpočtová rezerva</t>
  </si>
  <si>
    <t xml:space="preserve">FMP Cíl 3 ČR-Sasko - jedná se o projekt EEL, který byl schválen 8.12.2008. Jedná se o částku, která může být rozdělena mezi žadate ve FMP. </t>
  </si>
  <si>
    <t>Vzhledem k tomu, že částky jsou v žádosti v € a kurz se stále mění  jedná se o částku, která byla původně počítána kurzem 1:26, dojde k úpravám</t>
  </si>
  <si>
    <t xml:space="preserve">  Návrh rozpočtu EL na  rok 2009 </t>
  </si>
  <si>
    <t>1. Příjmy 2009</t>
  </si>
  <si>
    <t>2.5 ostatní neivestiční výdaje - 6171 5909</t>
  </si>
  <si>
    <t xml:space="preserve">cca. 300.000 </t>
  </si>
  <si>
    <t>v této položce je zahrnuto: platby nositelům projektu FMP, které je rozpočtem prochází a také platby související s admistrací fondu (905 tis.), projekt EEL KuKA 300.000, ve výdajích se jedná o položku 5909, která ale bude ponížena o 300.000</t>
  </si>
  <si>
    <t>na tuto položku bude přeúčtováno v roce 2009 oněch 300.000</t>
  </si>
  <si>
    <t>2.6 Převody vlastním rozpočtovým účtům - 6330 5345</t>
  </si>
  <si>
    <t>k 31.12.08 měl EL finanční zdroj  -  533.009,31 Kč.</t>
  </si>
  <si>
    <t>Předpokládaný stav finančních zdrojů EL k 31.12.09 bude činit 496.000,- Kč</t>
  </si>
  <si>
    <t>celkem 4 zaměstnanci na plný uvazek. 2 osoby pracují v sekretariátu FMP jejich mzdy jsou hrazeny z projektu fmp cíl 3. A jedna osoba zpracovává učetnictví (DPČ)</t>
  </si>
  <si>
    <t xml:space="preserve">v roce 2009 EEL chce pokračovat vydávání Kalendáře. Projekt byl již zpracován a předložen. Dne 20.2.09 by měl být schválen. Dotace bude činit </t>
  </si>
  <si>
    <t>Kulturní a sportovní kal.  200.000,-, kul.pasy 15000,-, kancel.potř. 15. tis</t>
  </si>
  <si>
    <t>Jedná se o občerstvení při zasedáních EL (Rada, prezídium, pracovní skupiny apod.)</t>
  </si>
  <si>
    <t>rok 2008</t>
  </si>
  <si>
    <t>1.10 zapojení hosp. výsledku z minulých let</t>
  </si>
  <si>
    <t>Bylo zapojeno celkem 37.000 Kč do rozpočtu na rok 2009 z výsledku hosp. r. 2008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</si>
</sst>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51">
    <font>
      <sz val="10"/>
      <name val="Arial CE"/>
      <family val="0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4" fontId="2" fillId="33" borderId="0" xfId="39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2" fillId="0" borderId="0" xfId="39" applyNumberFormat="1" applyFont="1" applyAlignment="1">
      <alignment horizontal="right"/>
    </xf>
    <xf numFmtId="0" fontId="3" fillId="0" borderId="10" xfId="0" applyFont="1" applyBorder="1" applyAlignment="1">
      <alignment/>
    </xf>
    <xf numFmtId="164" fontId="7" fillId="0" borderId="0" xfId="39" applyNumberFormat="1" applyFont="1" applyAlignment="1">
      <alignment horizontal="righ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4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/>
    </xf>
    <xf numFmtId="165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4" fontId="7" fillId="0" borderId="0" xfId="39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39" applyNumberFormat="1" applyFont="1" applyAlignment="1">
      <alignment horizontal="center"/>
    </xf>
    <xf numFmtId="164" fontId="3" fillId="0" borderId="0" xfId="39" applyNumberFormat="1" applyFont="1" applyAlignment="1">
      <alignment horizontal="right"/>
    </xf>
    <xf numFmtId="4" fontId="3" fillId="0" borderId="0" xfId="0" applyNumberFormat="1" applyFont="1" applyAlignment="1">
      <alignment/>
    </xf>
    <xf numFmtId="164" fontId="7" fillId="0" borderId="11" xfId="39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39" applyNumberFormat="1" applyFont="1" applyAlignment="1">
      <alignment horizontal="right"/>
    </xf>
    <xf numFmtId="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12" xfId="0" applyFont="1" applyBorder="1" applyAlignment="1">
      <alignment horizontal="left" vertical="top" wrapText="1" indent="2"/>
    </xf>
    <xf numFmtId="0" fontId="10" fillId="0" borderId="13" xfId="0" applyFont="1" applyBorder="1" applyAlignment="1">
      <alignment horizontal="left" vertical="top" wrapText="1" indent="2"/>
    </xf>
    <xf numFmtId="0" fontId="10" fillId="0" borderId="14" xfId="0" applyFont="1" applyBorder="1" applyAlignment="1">
      <alignment horizontal="left" vertical="top" wrapText="1" indent="2"/>
    </xf>
    <xf numFmtId="0" fontId="10" fillId="0" borderId="15" xfId="0" applyFont="1" applyBorder="1" applyAlignment="1">
      <alignment horizontal="right" wrapText="1" indent="2"/>
    </xf>
    <xf numFmtId="165" fontId="2" fillId="33" borderId="0" xfId="0" applyNumberFormat="1" applyFont="1" applyFill="1" applyAlignment="1">
      <alignment/>
    </xf>
    <xf numFmtId="164" fontId="6" fillId="0" borderId="10" xfId="39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2" fillId="33" borderId="0" xfId="0" applyNumberFormat="1" applyFont="1" applyFill="1" applyAlignment="1">
      <alignment/>
    </xf>
    <xf numFmtId="165" fontId="7" fillId="0" borderId="11" xfId="0" applyNumberFormat="1" applyFont="1" applyBorder="1" applyAlignment="1">
      <alignment/>
    </xf>
    <xf numFmtId="14" fontId="15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166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39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7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0" fontId="7" fillId="0" borderId="16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9" fillId="0" borderId="10" xfId="39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166" fontId="16" fillId="33" borderId="17" xfId="0" applyNumberFormat="1" applyFont="1" applyFill="1" applyBorder="1" applyAlignment="1">
      <alignment/>
    </xf>
    <xf numFmtId="165" fontId="16" fillId="33" borderId="17" xfId="0" applyNumberFormat="1" applyFont="1" applyFill="1" applyBorder="1" applyAlignment="1">
      <alignment/>
    </xf>
    <xf numFmtId="165" fontId="16" fillId="33" borderId="18" xfId="0" applyNumberFormat="1" applyFont="1" applyFill="1" applyBorder="1" applyAlignment="1">
      <alignment/>
    </xf>
    <xf numFmtId="165" fontId="2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64" fontId="2" fillId="33" borderId="17" xfId="39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/>
    </xf>
    <xf numFmtId="166" fontId="2" fillId="33" borderId="17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right" wrapText="1" indent="2"/>
    </xf>
    <xf numFmtId="0" fontId="10" fillId="0" borderId="13" xfId="0" applyFont="1" applyBorder="1" applyAlignment="1">
      <alignment horizontal="right" wrapText="1" indent="2"/>
    </xf>
    <xf numFmtId="0" fontId="10" fillId="0" borderId="14" xfId="0" applyFont="1" applyBorder="1" applyAlignment="1">
      <alignment horizontal="right" wrapText="1" indent="2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5"/>
  <sheetViews>
    <sheetView tabSelected="1" view="pageBreakPreview" zoomScale="60" zoomScaleNormal="115" zoomScalePageLayoutView="0" workbookViewId="0" topLeftCell="A102">
      <selection activeCell="N33" sqref="N33"/>
    </sheetView>
  </sheetViews>
  <sheetFormatPr defaultColWidth="9.00390625" defaultRowHeight="12.75"/>
  <cols>
    <col min="1" max="1" width="65.125" style="45" customWidth="1"/>
    <col min="2" max="2" width="0" style="2" hidden="1" customWidth="1"/>
    <col min="3" max="4" width="9.875" style="2" hidden="1" customWidth="1"/>
    <col min="5" max="5" width="27.75390625" style="2" hidden="1" customWidth="1"/>
    <col min="6" max="6" width="9.125" style="2" hidden="1" customWidth="1"/>
    <col min="7" max="7" width="24.00390625" style="2" hidden="1" customWidth="1"/>
    <col min="8" max="8" width="10.125" style="2" hidden="1" customWidth="1"/>
    <col min="9" max="9" width="0" style="2" hidden="1" customWidth="1"/>
    <col min="10" max="10" width="16.375" style="39" customWidth="1"/>
    <col min="11" max="11" width="14.125" style="28" customWidth="1"/>
    <col min="12" max="12" width="18.75390625" style="28" customWidth="1"/>
    <col min="13" max="13" width="22.25390625" style="53" customWidth="1"/>
    <col min="14" max="14" width="19.00390625" style="52" customWidth="1"/>
    <col min="15" max="15" width="19.375" style="53" customWidth="1"/>
    <col min="16" max="16384" width="9.125" style="2" customWidth="1"/>
  </cols>
  <sheetData>
    <row r="1" spans="1:13" ht="19.5" thickBot="1">
      <c r="A1" s="107" t="s">
        <v>66</v>
      </c>
      <c r="B1" s="108"/>
      <c r="C1" s="108"/>
      <c r="D1" s="108"/>
      <c r="E1" s="108"/>
      <c r="F1" s="108"/>
      <c r="G1" s="94"/>
      <c r="H1" s="95"/>
      <c r="I1" s="95"/>
      <c r="J1" s="96"/>
      <c r="K1" s="97"/>
      <c r="L1" s="97"/>
      <c r="M1" s="98"/>
    </row>
    <row r="2" spans="1:78" s="76" customFormat="1" ht="16.5" thickBot="1">
      <c r="A2" s="88"/>
      <c r="B2" s="89"/>
      <c r="C2" s="89"/>
      <c r="D2" s="89"/>
      <c r="E2" s="89"/>
      <c r="F2" s="89"/>
      <c r="G2" s="90" t="s">
        <v>32</v>
      </c>
      <c r="H2" s="91"/>
      <c r="I2" s="91"/>
      <c r="J2" s="92" t="s">
        <v>53</v>
      </c>
      <c r="K2" s="93" t="s">
        <v>52</v>
      </c>
      <c r="L2" s="93" t="s">
        <v>47</v>
      </c>
      <c r="M2" s="77" t="s">
        <v>79</v>
      </c>
      <c r="N2" s="78"/>
      <c r="O2" s="77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13" ht="13.5" thickBot="1">
      <c r="A3" s="84" t="s">
        <v>67</v>
      </c>
      <c r="B3" s="82"/>
      <c r="C3" s="82"/>
      <c r="D3" s="82"/>
      <c r="E3" s="82"/>
      <c r="F3" s="82"/>
      <c r="G3" s="1"/>
      <c r="H3" s="83"/>
      <c r="I3" s="83"/>
      <c r="J3" s="42"/>
      <c r="K3" s="36"/>
      <c r="L3" s="36"/>
      <c r="M3" s="99"/>
    </row>
    <row r="4" spans="1:12" ht="12.75">
      <c r="A4" s="55" t="s">
        <v>24</v>
      </c>
      <c r="B4" s="3"/>
      <c r="C4" s="3"/>
      <c r="D4" s="3"/>
      <c r="E4" s="3"/>
      <c r="F4" s="3"/>
      <c r="G4" s="19" t="e">
        <f>SUM(G5:G5:#REF!)</f>
        <v>#REF!</v>
      </c>
      <c r="H4" s="9"/>
      <c r="I4" s="9"/>
      <c r="K4" s="39"/>
      <c r="L4" s="39"/>
    </row>
    <row r="5" spans="1:13" ht="12.75">
      <c r="A5" s="56" t="s">
        <v>48</v>
      </c>
      <c r="B5" s="3"/>
      <c r="C5" s="3"/>
      <c r="D5" s="3"/>
      <c r="E5" s="3"/>
      <c r="F5" s="3"/>
      <c r="G5" s="5">
        <f>937340+5910</f>
        <v>943250</v>
      </c>
      <c r="H5" s="9"/>
      <c r="I5" s="9"/>
      <c r="K5" s="28">
        <v>930000</v>
      </c>
      <c r="L5" s="28">
        <f>J5+K5</f>
        <v>930000</v>
      </c>
      <c r="M5" s="53">
        <v>985000</v>
      </c>
    </row>
    <row r="6" spans="1:9" ht="12.75">
      <c r="A6" s="55"/>
      <c r="B6" s="3"/>
      <c r="C6" s="3"/>
      <c r="D6" s="3"/>
      <c r="E6" s="3"/>
      <c r="F6" s="3"/>
      <c r="G6" s="5"/>
      <c r="H6" s="9"/>
      <c r="I6" s="9"/>
    </row>
    <row r="7" spans="1:9" ht="12.75">
      <c r="A7" s="57" t="s">
        <v>26</v>
      </c>
      <c r="B7" s="3"/>
      <c r="C7" s="3"/>
      <c r="D7" s="3"/>
      <c r="E7" s="3"/>
      <c r="F7" s="3"/>
      <c r="G7" s="5"/>
      <c r="H7" s="9"/>
      <c r="I7" s="9"/>
    </row>
    <row r="8" spans="1:9" ht="12.75">
      <c r="A8" s="49"/>
      <c r="B8" s="3"/>
      <c r="C8" s="3"/>
      <c r="D8" s="3"/>
      <c r="E8" s="3"/>
      <c r="F8" s="3"/>
      <c r="G8" s="5"/>
      <c r="H8" s="9"/>
      <c r="I8" s="9"/>
    </row>
    <row r="9" spans="1:15" ht="15.75">
      <c r="A9" s="85" t="s">
        <v>42</v>
      </c>
      <c r="B9" s="3"/>
      <c r="C9" s="3"/>
      <c r="D9" s="3"/>
      <c r="E9" s="3"/>
      <c r="F9" s="3"/>
      <c r="G9" s="5"/>
      <c r="H9" s="9"/>
      <c r="I9" s="9"/>
      <c r="M9" s="66"/>
      <c r="O9" s="66"/>
    </row>
    <row r="10" spans="2:9" ht="12.75">
      <c r="B10" s="3"/>
      <c r="C10" s="3"/>
      <c r="D10" s="3"/>
      <c r="E10" s="3"/>
      <c r="F10" s="3"/>
      <c r="G10" s="5"/>
      <c r="H10" s="9"/>
      <c r="I10" s="9"/>
    </row>
    <row r="11" spans="1:15" ht="24">
      <c r="A11" s="86" t="s">
        <v>46</v>
      </c>
      <c r="B11" s="3"/>
      <c r="C11" s="3"/>
      <c r="D11" s="3"/>
      <c r="E11" s="3"/>
      <c r="F11" s="3"/>
      <c r="G11" s="5"/>
      <c r="H11" s="9"/>
      <c r="I11" s="9"/>
      <c r="J11" s="39">
        <f>7343000</f>
        <v>7343000</v>
      </c>
      <c r="K11" s="28">
        <v>298000</v>
      </c>
      <c r="L11" s="28">
        <f>J11+K11</f>
        <v>7641000</v>
      </c>
      <c r="M11" s="53">
        <v>4356000</v>
      </c>
      <c r="O11" s="67"/>
    </row>
    <row r="12" spans="1:9" ht="36">
      <c r="A12" s="44" t="s">
        <v>70</v>
      </c>
      <c r="B12" s="3"/>
      <c r="C12" s="3"/>
      <c r="D12" s="3"/>
      <c r="E12" s="3"/>
      <c r="F12" s="3"/>
      <c r="G12" s="5"/>
      <c r="H12" s="9"/>
      <c r="I12" s="9"/>
    </row>
    <row r="13" spans="1:9" ht="12.75">
      <c r="A13" s="48"/>
      <c r="B13" s="3"/>
      <c r="C13" s="3"/>
      <c r="D13" s="3"/>
      <c r="E13" s="3"/>
      <c r="F13" s="3"/>
      <c r="G13" s="5"/>
      <c r="H13" s="9"/>
      <c r="I13" s="9"/>
    </row>
    <row r="14" spans="1:13" ht="12.75">
      <c r="A14" s="85" t="s">
        <v>25</v>
      </c>
      <c r="B14" s="3"/>
      <c r="C14" s="3"/>
      <c r="D14" s="3"/>
      <c r="E14" s="3"/>
      <c r="F14" s="3"/>
      <c r="G14" s="5">
        <v>4540</v>
      </c>
      <c r="H14" s="9"/>
      <c r="I14" s="9"/>
      <c r="M14" s="53">
        <v>3000</v>
      </c>
    </row>
    <row r="15" spans="2:9" ht="12.75">
      <c r="B15" s="3"/>
      <c r="C15" s="3"/>
      <c r="D15" s="3"/>
      <c r="E15" s="3"/>
      <c r="F15" s="3"/>
      <c r="G15" s="5"/>
      <c r="H15" s="9"/>
      <c r="I15" s="9"/>
    </row>
    <row r="16" spans="1:13" ht="12.75">
      <c r="A16" s="85" t="s">
        <v>28</v>
      </c>
      <c r="B16" s="3"/>
      <c r="C16" s="3"/>
      <c r="D16" s="3"/>
      <c r="E16" s="3"/>
      <c r="F16" s="3"/>
      <c r="G16" s="5">
        <v>22200</v>
      </c>
      <c r="H16" s="9"/>
      <c r="I16" s="9"/>
      <c r="K16" s="28">
        <v>30000</v>
      </c>
      <c r="L16" s="28">
        <f>J16+K16</f>
        <v>30000</v>
      </c>
      <c r="M16" s="53">
        <v>47000</v>
      </c>
    </row>
    <row r="17" spans="1:9" ht="12.75">
      <c r="A17" s="48" t="s">
        <v>51</v>
      </c>
      <c r="B17" s="3"/>
      <c r="C17" s="3"/>
      <c r="D17" s="3"/>
      <c r="E17" s="3"/>
      <c r="F17" s="3"/>
      <c r="G17" s="5"/>
      <c r="H17" s="9"/>
      <c r="I17" s="9"/>
    </row>
    <row r="18" spans="1:9" ht="12.75">
      <c r="A18" s="48"/>
      <c r="B18" s="3"/>
      <c r="C18" s="3"/>
      <c r="D18" s="3"/>
      <c r="E18" s="3"/>
      <c r="F18" s="3"/>
      <c r="G18" s="5"/>
      <c r="H18" s="9"/>
      <c r="I18" s="9"/>
    </row>
    <row r="19" spans="1:13" ht="12.75">
      <c r="A19" s="57" t="s">
        <v>29</v>
      </c>
      <c r="B19" s="3"/>
      <c r="C19" s="3"/>
      <c r="D19" s="3"/>
      <c r="E19" s="3"/>
      <c r="F19" s="3"/>
      <c r="G19" s="5">
        <v>8569.52</v>
      </c>
      <c r="H19" s="9"/>
      <c r="I19" s="9"/>
      <c r="K19" s="28">
        <v>6000</v>
      </c>
      <c r="L19" s="28">
        <f>J19+K19</f>
        <v>6000</v>
      </c>
      <c r="M19" s="53">
        <v>7000</v>
      </c>
    </row>
    <row r="20" spans="1:9" ht="12.75">
      <c r="A20" s="56"/>
      <c r="B20" s="3"/>
      <c r="C20" s="3"/>
      <c r="D20" s="3"/>
      <c r="E20" s="3"/>
      <c r="F20" s="3"/>
      <c r="G20" s="5"/>
      <c r="H20" s="9"/>
      <c r="I20" s="9"/>
    </row>
    <row r="21" spans="1:12" ht="12.75">
      <c r="A21" s="57" t="s">
        <v>30</v>
      </c>
      <c r="B21" s="3"/>
      <c r="C21" s="3"/>
      <c r="D21" s="3"/>
      <c r="E21" s="3"/>
      <c r="F21" s="3"/>
      <c r="G21" s="5">
        <v>550241</v>
      </c>
      <c r="H21" s="9"/>
      <c r="I21" s="9"/>
      <c r="K21" s="28">
        <v>35000</v>
      </c>
      <c r="L21" s="28">
        <f>K21</f>
        <v>35000</v>
      </c>
    </row>
    <row r="22" spans="1:9" ht="12.75">
      <c r="A22" s="48" t="s">
        <v>49</v>
      </c>
      <c r="B22" s="3"/>
      <c r="C22" s="3"/>
      <c r="D22" s="3"/>
      <c r="E22" s="3"/>
      <c r="F22" s="3"/>
      <c r="G22" s="5"/>
      <c r="H22" s="9"/>
      <c r="I22" s="9"/>
    </row>
    <row r="23" spans="1:9" ht="12.75">
      <c r="A23" s="56"/>
      <c r="B23" s="3"/>
      <c r="C23" s="3"/>
      <c r="D23" s="3"/>
      <c r="E23" s="3"/>
      <c r="F23" s="3"/>
      <c r="G23" s="5"/>
      <c r="H23" s="9"/>
      <c r="I23" s="9"/>
    </row>
    <row r="24" spans="1:13" ht="12.75">
      <c r="A24" s="86" t="s">
        <v>43</v>
      </c>
      <c r="B24" s="3"/>
      <c r="C24" s="3"/>
      <c r="D24" s="3"/>
      <c r="E24" s="3"/>
      <c r="F24" s="3"/>
      <c r="G24" s="5"/>
      <c r="H24" s="9"/>
      <c r="I24" s="9"/>
      <c r="M24" s="53">
        <v>387000</v>
      </c>
    </row>
    <row r="25" spans="1:15" s="45" customFormat="1" ht="12.75">
      <c r="A25" s="54" t="s">
        <v>76</v>
      </c>
      <c r="B25" s="54"/>
      <c r="C25" s="54"/>
      <c r="D25" s="54"/>
      <c r="E25" s="54"/>
      <c r="F25" s="54"/>
      <c r="G25" s="50"/>
      <c r="H25" s="51"/>
      <c r="I25" s="51"/>
      <c r="J25" s="52"/>
      <c r="K25" s="53"/>
      <c r="L25" s="53"/>
      <c r="M25" s="53"/>
      <c r="N25" s="52"/>
      <c r="O25" s="53"/>
    </row>
    <row r="26" spans="1:15" s="45" customFormat="1" ht="12.75">
      <c r="A26" s="48" t="s">
        <v>69</v>
      </c>
      <c r="B26" s="49"/>
      <c r="C26" s="49"/>
      <c r="D26" s="49"/>
      <c r="E26" s="49"/>
      <c r="F26" s="49"/>
      <c r="G26" s="50"/>
      <c r="H26" s="51"/>
      <c r="I26" s="51"/>
      <c r="J26" s="52"/>
      <c r="K26" s="53"/>
      <c r="L26" s="53"/>
      <c r="M26" s="53"/>
      <c r="N26" s="52"/>
      <c r="O26" s="53"/>
    </row>
    <row r="27" spans="1:14" ht="12.75">
      <c r="A27" s="87" t="s">
        <v>80</v>
      </c>
      <c r="B27" s="4"/>
      <c r="C27" s="4"/>
      <c r="D27" s="4"/>
      <c r="E27" s="4"/>
      <c r="F27" s="4"/>
      <c r="G27" s="5"/>
      <c r="H27" s="9"/>
      <c r="I27" s="9"/>
      <c r="K27" s="28">
        <v>37000</v>
      </c>
      <c r="L27" s="28">
        <v>37000</v>
      </c>
      <c r="M27" s="53">
        <v>680000</v>
      </c>
      <c r="N27" s="28"/>
    </row>
    <row r="28" spans="1:9" ht="12.75">
      <c r="A28" s="54"/>
      <c r="B28" s="4"/>
      <c r="C28" s="4"/>
      <c r="D28" s="4"/>
      <c r="E28" s="4"/>
      <c r="F28" s="4"/>
      <c r="G28" s="5"/>
      <c r="H28" s="9"/>
      <c r="I28" s="9"/>
    </row>
    <row r="29" spans="1:15" ht="12.75">
      <c r="A29" s="57" t="s">
        <v>0</v>
      </c>
      <c r="B29" s="3"/>
      <c r="C29" s="3"/>
      <c r="D29" s="3"/>
      <c r="E29" s="3"/>
      <c r="F29" s="3"/>
      <c r="G29" s="7">
        <v>1697343.02</v>
      </c>
      <c r="H29" s="12"/>
      <c r="I29" s="12"/>
      <c r="J29" s="17">
        <f>SUM(J5:J28)</f>
        <v>7343000</v>
      </c>
      <c r="K29" s="17">
        <f>SUM(K5:K28)</f>
        <v>1336000</v>
      </c>
      <c r="L29" s="17">
        <f>J29+K29</f>
        <v>8679000</v>
      </c>
      <c r="M29" s="68">
        <f>SUM(M5:M28)</f>
        <v>6465000</v>
      </c>
      <c r="O29" s="68"/>
    </row>
    <row r="30" spans="1:9" ht="12.75">
      <c r="A30" s="49"/>
      <c r="B30" s="3"/>
      <c r="C30" s="3"/>
      <c r="D30" s="3"/>
      <c r="E30" s="9"/>
      <c r="F30" s="3"/>
      <c r="G30" s="5"/>
      <c r="H30" s="9"/>
      <c r="I30" s="9"/>
    </row>
    <row r="31" ht="13.5" thickBot="1"/>
    <row r="32" spans="1:13" ht="13.5" thickBot="1">
      <c r="A32" s="100" t="s">
        <v>50</v>
      </c>
      <c r="B32" s="101"/>
      <c r="C32" s="101"/>
      <c r="D32" s="101"/>
      <c r="E32" s="101"/>
      <c r="F32" s="101"/>
      <c r="G32" s="102"/>
      <c r="H32" s="103"/>
      <c r="I32" s="103"/>
      <c r="J32" s="104"/>
      <c r="K32" s="105"/>
      <c r="L32" s="105"/>
      <c r="M32" s="106"/>
    </row>
    <row r="33" spans="1:15" s="8" customFormat="1" ht="12.75">
      <c r="A33" s="58" t="s">
        <v>14</v>
      </c>
      <c r="B33" s="80"/>
      <c r="C33" s="80"/>
      <c r="D33" s="80"/>
      <c r="E33" s="81"/>
      <c r="F33" s="81"/>
      <c r="G33" s="7">
        <f>SUM(G34:G41)</f>
        <v>606133</v>
      </c>
      <c r="H33" s="12"/>
      <c r="I33" s="12"/>
      <c r="J33" s="17">
        <f>J34+J37+J39+J41</f>
        <v>731000</v>
      </c>
      <c r="K33" s="17">
        <f>K34+K37+K39+K41</f>
        <v>890000</v>
      </c>
      <c r="L33" s="17">
        <f>J33+K33</f>
        <v>1621000</v>
      </c>
      <c r="M33" s="68">
        <f>SUM(M34:M41)</f>
        <v>1481000</v>
      </c>
      <c r="N33" s="75"/>
      <c r="O33" s="68"/>
    </row>
    <row r="34" spans="1:13" ht="12.75">
      <c r="A34" s="59" t="s">
        <v>15</v>
      </c>
      <c r="B34" s="14"/>
      <c r="C34" s="14"/>
      <c r="D34" s="14"/>
      <c r="E34" s="14"/>
      <c r="F34" s="4"/>
      <c r="G34" s="5">
        <v>448039</v>
      </c>
      <c r="H34" s="5">
        <v>448039</v>
      </c>
      <c r="I34" s="5">
        <v>448039</v>
      </c>
      <c r="J34" s="28">
        <v>540000</v>
      </c>
      <c r="K34" s="28">
        <f>ROUND(628000+29600,-3)</f>
        <v>658000</v>
      </c>
      <c r="L34" s="28">
        <f>J34+K34</f>
        <v>1198000</v>
      </c>
      <c r="M34" s="53">
        <v>1095000</v>
      </c>
    </row>
    <row r="35" spans="1:9" ht="12.75">
      <c r="A35" s="59" t="s">
        <v>75</v>
      </c>
      <c r="B35" s="14"/>
      <c r="C35" s="14"/>
      <c r="D35" s="14"/>
      <c r="E35" s="14"/>
      <c r="F35" s="4"/>
      <c r="G35" s="5"/>
      <c r="H35" s="5"/>
      <c r="I35" s="5"/>
    </row>
    <row r="36" spans="1:9" ht="12.75">
      <c r="A36" s="59"/>
      <c r="B36" s="14"/>
      <c r="C36" s="14"/>
      <c r="D36" s="14"/>
      <c r="E36" s="14"/>
      <c r="F36" s="4"/>
      <c r="G36" s="5"/>
      <c r="H36" s="5"/>
      <c r="I36" s="5"/>
    </row>
    <row r="37" spans="1:13" ht="12.75">
      <c r="A37" s="60" t="s">
        <v>16</v>
      </c>
      <c r="B37" s="14"/>
      <c r="C37" s="14"/>
      <c r="D37" s="14"/>
      <c r="E37" s="14"/>
      <c r="F37" s="4"/>
      <c r="G37" s="5">
        <v>116494</v>
      </c>
      <c r="H37" s="9"/>
      <c r="I37" s="9"/>
      <c r="J37" s="28">
        <f>ROUND(J34*0.26,-3)</f>
        <v>140000</v>
      </c>
      <c r="K37" s="28">
        <f>ROUND(K34*0.26,-3)</f>
        <v>171000</v>
      </c>
      <c r="L37" s="28">
        <f>J37+K37</f>
        <v>311000</v>
      </c>
      <c r="M37" s="53">
        <v>285000</v>
      </c>
    </row>
    <row r="38" spans="1:10" ht="12.75">
      <c r="A38" s="59"/>
      <c r="B38" s="14"/>
      <c r="C38" s="14"/>
      <c r="D38" s="14"/>
      <c r="E38" s="14"/>
      <c r="F38" s="4"/>
      <c r="G38" s="5"/>
      <c r="H38" s="9"/>
      <c r="I38" s="9"/>
      <c r="J38" s="28"/>
    </row>
    <row r="39" spans="1:13" ht="12.75">
      <c r="A39" s="61" t="s">
        <v>17</v>
      </c>
      <c r="B39" s="15"/>
      <c r="C39" s="15"/>
      <c r="D39" s="15"/>
      <c r="E39" s="15"/>
      <c r="F39" s="3"/>
      <c r="G39" s="5">
        <v>40326</v>
      </c>
      <c r="H39" s="9"/>
      <c r="I39" s="9"/>
      <c r="J39" s="28">
        <f>ROUND(J34*0.09,-3)</f>
        <v>49000</v>
      </c>
      <c r="K39" s="28">
        <f>ROUND(K34*0.09,-3)</f>
        <v>59000</v>
      </c>
      <c r="L39" s="28">
        <f>J39+K39</f>
        <v>108000</v>
      </c>
      <c r="M39" s="53">
        <v>98000</v>
      </c>
    </row>
    <row r="40" spans="1:10" ht="12.75">
      <c r="A40" s="59"/>
      <c r="B40" s="15"/>
      <c r="C40" s="15"/>
      <c r="D40" s="15"/>
      <c r="E40" s="15"/>
      <c r="F40" s="3"/>
      <c r="G40" s="5"/>
      <c r="H40" s="9"/>
      <c r="I40" s="9"/>
      <c r="J40" s="28"/>
    </row>
    <row r="41" spans="1:13" ht="12.75">
      <c r="A41" s="61" t="s">
        <v>18</v>
      </c>
      <c r="B41" s="15"/>
      <c r="C41" s="15"/>
      <c r="D41" s="15"/>
      <c r="E41" s="15"/>
      <c r="F41" s="3"/>
      <c r="G41" s="5">
        <v>1274</v>
      </c>
      <c r="H41" s="5">
        <v>1274</v>
      </c>
      <c r="I41" s="5">
        <v>1274</v>
      </c>
      <c r="J41" s="28">
        <v>2000</v>
      </c>
      <c r="K41" s="28">
        <v>2000</v>
      </c>
      <c r="L41" s="28">
        <f>J41+K41</f>
        <v>4000</v>
      </c>
      <c r="M41" s="53">
        <v>3000</v>
      </c>
    </row>
    <row r="42" spans="1:10" ht="12.75">
      <c r="A42" s="61"/>
      <c r="B42" s="15"/>
      <c r="C42" s="15"/>
      <c r="D42" s="15"/>
      <c r="E42" s="15"/>
      <c r="F42" s="3"/>
      <c r="G42" s="5"/>
      <c r="H42" s="9"/>
      <c r="I42" s="9"/>
      <c r="J42" s="28"/>
    </row>
    <row r="43" spans="1:15" ht="12.75">
      <c r="A43" s="58" t="s">
        <v>9</v>
      </c>
      <c r="B43" s="13"/>
      <c r="C43" s="13"/>
      <c r="D43" s="13"/>
      <c r="E43" s="11"/>
      <c r="F43" s="11"/>
      <c r="G43" s="24" t="e">
        <f>G45+G48+G50+G54+G57+G60+G62+G65+G75+G78+G89+G80+G83+G86+G92</f>
        <v>#REF!</v>
      </c>
      <c r="H43" s="12"/>
      <c r="I43" s="12"/>
      <c r="J43" s="43">
        <f>SUM(J45,J48,J50,J57,J65,J73,J75,J80,J83)</f>
        <v>181000</v>
      </c>
      <c r="K43" s="43">
        <f>SUM(K45,K48,K50,K54,K57,K60,K62,K65,K75,K78,K80,K83)</f>
        <v>559000</v>
      </c>
      <c r="L43" s="43">
        <f>SUM(L45,L48,L50,L54,L57,L60,L62,L65,L73,L75,L78,L80,L83)</f>
        <v>740000</v>
      </c>
      <c r="M43" s="69">
        <f>SUM(M45+M48+M50+M54+M57+M60+M62+M65+M73+M75+M78+M80+M83)</f>
        <v>600000</v>
      </c>
      <c r="N43" s="70"/>
      <c r="O43" s="69"/>
    </row>
    <row r="44" spans="1:10" ht="12.75">
      <c r="A44" s="61"/>
      <c r="B44" s="15"/>
      <c r="C44" s="15"/>
      <c r="D44" s="15"/>
      <c r="E44" s="3"/>
      <c r="F44" s="3"/>
      <c r="G44" s="5"/>
      <c r="H44" s="9"/>
      <c r="I44" s="9"/>
      <c r="J44" s="28"/>
    </row>
    <row r="45" spans="1:13" ht="12.75">
      <c r="A45" s="61" t="s">
        <v>19</v>
      </c>
      <c r="B45" s="15"/>
      <c r="C45" s="15"/>
      <c r="D45" s="15"/>
      <c r="E45" s="3"/>
      <c r="F45" s="3"/>
      <c r="G45" s="5">
        <v>4971.5</v>
      </c>
      <c r="H45" s="9"/>
      <c r="I45" s="9"/>
      <c r="J45" s="28">
        <v>10000</v>
      </c>
      <c r="K45" s="28">
        <v>10000</v>
      </c>
      <c r="L45" s="28">
        <f>J45+K45</f>
        <v>20000</v>
      </c>
      <c r="M45" s="53">
        <v>15000</v>
      </c>
    </row>
    <row r="46" spans="1:10" ht="12.75">
      <c r="A46" s="61"/>
      <c r="B46" s="15"/>
      <c r="C46" s="15"/>
      <c r="D46" s="15"/>
      <c r="E46" s="3"/>
      <c r="F46" s="3"/>
      <c r="G46" s="5"/>
      <c r="H46" s="9"/>
      <c r="I46" s="9"/>
      <c r="J46" s="28"/>
    </row>
    <row r="47" spans="1:10" ht="12.75">
      <c r="A47" s="61"/>
      <c r="B47" s="15"/>
      <c r="C47" s="15"/>
      <c r="D47" s="15"/>
      <c r="E47" s="3"/>
      <c r="F47" s="3"/>
      <c r="G47" s="5"/>
      <c r="H47" s="9"/>
      <c r="I47" s="9"/>
      <c r="J47" s="28"/>
    </row>
    <row r="48" spans="1:13" ht="12.75">
      <c r="A48" s="61" t="s">
        <v>20</v>
      </c>
      <c r="B48" s="15"/>
      <c r="C48" s="15"/>
      <c r="D48" s="15"/>
      <c r="E48" s="3"/>
      <c r="F48" s="3"/>
      <c r="G48" s="5">
        <v>49889.5</v>
      </c>
      <c r="H48" s="9"/>
      <c r="I48" s="9"/>
      <c r="J48" s="28">
        <v>15000</v>
      </c>
      <c r="K48" s="28">
        <v>35000</v>
      </c>
      <c r="L48" s="28">
        <f>J48+K48</f>
        <v>50000</v>
      </c>
      <c r="M48" s="53">
        <v>42000</v>
      </c>
    </row>
    <row r="49" spans="1:10" ht="12.75">
      <c r="A49" s="61"/>
      <c r="B49" s="15"/>
      <c r="C49" s="15"/>
      <c r="D49" s="15"/>
      <c r="E49" s="3"/>
      <c r="F49" s="3"/>
      <c r="G49" s="5"/>
      <c r="H49" s="9"/>
      <c r="I49" s="9"/>
      <c r="J49" s="28"/>
    </row>
    <row r="50" spans="1:13" ht="12.75">
      <c r="A50" s="61" t="s">
        <v>13</v>
      </c>
      <c r="B50" s="15"/>
      <c r="C50" s="15"/>
      <c r="D50" s="15"/>
      <c r="E50" s="3"/>
      <c r="F50" s="3"/>
      <c r="G50" s="5">
        <v>336679</v>
      </c>
      <c r="H50" s="9"/>
      <c r="I50" s="9"/>
      <c r="J50" s="28">
        <v>10000</v>
      </c>
      <c r="K50" s="28">
        <v>220000</v>
      </c>
      <c r="L50" s="28">
        <f>J50+K50</f>
        <v>230000</v>
      </c>
      <c r="M50" s="53">
        <v>91000</v>
      </c>
    </row>
    <row r="51" spans="1:10" ht="12.75">
      <c r="A51" s="45" t="s">
        <v>77</v>
      </c>
      <c r="B51" s="15"/>
      <c r="C51" s="15"/>
      <c r="D51" s="15"/>
      <c r="E51" s="3"/>
      <c r="F51" s="3"/>
      <c r="G51" s="5"/>
      <c r="H51" s="9"/>
      <c r="I51" s="9"/>
      <c r="J51" s="28"/>
    </row>
    <row r="52" spans="1:10" ht="12.75">
      <c r="A52" s="61"/>
      <c r="B52" s="15"/>
      <c r="C52" s="15"/>
      <c r="D52" s="15"/>
      <c r="E52" s="3"/>
      <c r="F52" s="3"/>
      <c r="G52" s="5"/>
      <c r="H52" s="9"/>
      <c r="I52" s="9"/>
      <c r="J52" s="28"/>
    </row>
    <row r="53" spans="1:10" ht="12.75">
      <c r="A53" s="61"/>
      <c r="B53" s="15"/>
      <c r="C53" s="15"/>
      <c r="D53" s="15"/>
      <c r="E53" s="3"/>
      <c r="F53" s="3"/>
      <c r="G53" s="5"/>
      <c r="H53" s="9"/>
      <c r="I53" s="9"/>
      <c r="J53" s="28"/>
    </row>
    <row r="54" spans="1:13" ht="12.75">
      <c r="A54" s="61" t="s">
        <v>21</v>
      </c>
      <c r="B54" s="15"/>
      <c r="C54" s="15"/>
      <c r="D54" s="15"/>
      <c r="E54" s="3"/>
      <c r="F54" s="3"/>
      <c r="G54" s="5">
        <v>4651.5</v>
      </c>
      <c r="H54" s="9"/>
      <c r="I54" s="9"/>
      <c r="J54" s="28"/>
      <c r="K54" s="28">
        <v>10000</v>
      </c>
      <c r="L54" s="28">
        <f>J54+K54</f>
        <v>10000</v>
      </c>
      <c r="M54" s="53">
        <v>6000</v>
      </c>
    </row>
    <row r="55" spans="1:10" ht="12.75">
      <c r="A55" s="61"/>
      <c r="B55" s="15"/>
      <c r="C55" s="15"/>
      <c r="D55" s="15"/>
      <c r="E55" s="3"/>
      <c r="F55" s="3"/>
      <c r="G55" s="5"/>
      <c r="H55" s="9"/>
      <c r="I55" s="9"/>
      <c r="J55" s="28"/>
    </row>
    <row r="56" spans="1:10" ht="12.75">
      <c r="A56" s="61"/>
      <c r="B56" s="15"/>
      <c r="C56" s="15"/>
      <c r="D56" s="15"/>
      <c r="E56" s="3"/>
      <c r="F56" s="3"/>
      <c r="G56" s="5"/>
      <c r="H56" s="9"/>
      <c r="I56" s="9"/>
      <c r="J56" s="28"/>
    </row>
    <row r="57" spans="1:13" ht="12.75">
      <c r="A57" s="49" t="s">
        <v>22</v>
      </c>
      <c r="B57" s="3"/>
      <c r="C57" s="3"/>
      <c r="D57" s="3"/>
      <c r="E57" s="3"/>
      <c r="F57" s="3"/>
      <c r="G57" s="5">
        <v>45346</v>
      </c>
      <c r="H57" s="9"/>
      <c r="I57" s="9"/>
      <c r="J57" s="28">
        <v>40000</v>
      </c>
      <c r="K57" s="28">
        <v>30000</v>
      </c>
      <c r="L57" s="28">
        <f>J57+K57</f>
        <v>70000</v>
      </c>
      <c r="M57" s="53">
        <v>2000</v>
      </c>
    </row>
    <row r="58" spans="1:10" ht="12.75">
      <c r="A58" s="49"/>
      <c r="B58" s="3"/>
      <c r="C58" s="3"/>
      <c r="D58" s="3"/>
      <c r="E58" s="3"/>
      <c r="F58" s="3"/>
      <c r="G58" s="5"/>
      <c r="H58" s="9"/>
      <c r="I58" s="9"/>
      <c r="J58" s="28"/>
    </row>
    <row r="59" spans="1:10" ht="12.75">
      <c r="A59" s="49"/>
      <c r="B59" s="3"/>
      <c r="C59" s="3"/>
      <c r="D59" s="3"/>
      <c r="E59" s="3"/>
      <c r="F59" s="3"/>
      <c r="G59" s="5"/>
      <c r="H59" s="9"/>
      <c r="I59" s="9"/>
      <c r="J59" s="28"/>
    </row>
    <row r="60" spans="1:13" ht="12.75">
      <c r="A60" s="49" t="s">
        <v>31</v>
      </c>
      <c r="B60" s="3"/>
      <c r="C60" s="3"/>
      <c r="D60" s="3"/>
      <c r="E60" s="3"/>
      <c r="F60" s="3"/>
      <c r="G60" s="5">
        <v>12534.17</v>
      </c>
      <c r="H60" s="9"/>
      <c r="I60" s="9"/>
      <c r="J60" s="28"/>
      <c r="K60" s="28">
        <v>10000</v>
      </c>
      <c r="L60" s="28">
        <f>K60</f>
        <v>10000</v>
      </c>
      <c r="M60" s="53">
        <v>10000</v>
      </c>
    </row>
    <row r="61" spans="2:10" ht="12.75">
      <c r="B61" s="3"/>
      <c r="C61" s="3"/>
      <c r="D61" s="3"/>
      <c r="E61" s="3"/>
      <c r="F61" s="3"/>
      <c r="G61" s="5"/>
      <c r="H61" s="9"/>
      <c r="I61" s="9"/>
      <c r="J61" s="28"/>
    </row>
    <row r="62" spans="1:13" ht="12.75">
      <c r="A62" s="56" t="s">
        <v>45</v>
      </c>
      <c r="B62" s="3"/>
      <c r="C62" s="3"/>
      <c r="D62" s="3"/>
      <c r="E62" s="3"/>
      <c r="F62" s="3"/>
      <c r="G62" s="5">
        <v>4200</v>
      </c>
      <c r="H62" s="9"/>
      <c r="I62" s="9"/>
      <c r="J62" s="28"/>
      <c r="K62" s="28">
        <v>15000</v>
      </c>
      <c r="L62" s="28">
        <f>J62+K62</f>
        <v>15000</v>
      </c>
      <c r="M62" s="53">
        <v>10000</v>
      </c>
    </row>
    <row r="63" spans="2:10" ht="12.75">
      <c r="B63" s="3"/>
      <c r="C63" s="3"/>
      <c r="D63" s="3"/>
      <c r="E63" s="3"/>
      <c r="F63" s="3"/>
      <c r="G63" s="5"/>
      <c r="H63" s="9"/>
      <c r="I63" s="9"/>
      <c r="J63" s="28"/>
    </row>
    <row r="64" spans="2:10" ht="12.75">
      <c r="B64" s="3"/>
      <c r="C64" s="3"/>
      <c r="D64" s="3"/>
      <c r="E64" s="3"/>
      <c r="F64" s="3"/>
      <c r="G64" s="5"/>
      <c r="H64" s="9"/>
      <c r="I64" s="9"/>
      <c r="J64" s="28"/>
    </row>
    <row r="65" spans="1:15" s="8" customFormat="1" ht="12.75">
      <c r="A65" s="57" t="s">
        <v>23</v>
      </c>
      <c r="B65" s="10"/>
      <c r="C65" s="10"/>
      <c r="D65" s="10"/>
      <c r="E65" s="10"/>
      <c r="F65" s="10"/>
      <c r="G65" s="7" t="e">
        <f>SUM(G66:G66:G67:G68:#REF!)</f>
        <v>#REF!</v>
      </c>
      <c r="H65" s="12"/>
      <c r="I65" s="12"/>
      <c r="J65" s="17">
        <f>SUM(J66:J70)</f>
        <v>17000</v>
      </c>
      <c r="K65" s="17">
        <f>SUM(K66:K70)</f>
        <v>168000</v>
      </c>
      <c r="L65" s="17">
        <f>SUM(L66:L70)</f>
        <v>185000</v>
      </c>
      <c r="M65" s="68">
        <f>SUM(M66:M70)</f>
        <v>312000</v>
      </c>
      <c r="N65" s="75"/>
      <c r="O65" s="68"/>
    </row>
    <row r="66" spans="1:15" s="25" customFormat="1" ht="12.75">
      <c r="A66" s="62" t="s">
        <v>56</v>
      </c>
      <c r="G66" s="26">
        <v>3501</v>
      </c>
      <c r="H66" s="27"/>
      <c r="I66" s="27"/>
      <c r="J66" s="38">
        <v>15000</v>
      </c>
      <c r="K66" s="38"/>
      <c r="L66" s="28">
        <f>J66+K66</f>
        <v>15000</v>
      </c>
      <c r="M66" s="28">
        <v>2500</v>
      </c>
      <c r="N66" s="72"/>
      <c r="O66" s="71"/>
    </row>
    <row r="67" spans="1:13" ht="12.75">
      <c r="A67" s="45" t="s">
        <v>57</v>
      </c>
      <c r="B67" s="3"/>
      <c r="C67" s="3"/>
      <c r="D67" s="3"/>
      <c r="E67" s="3"/>
      <c r="F67" s="3"/>
      <c r="G67" s="5">
        <v>7140</v>
      </c>
      <c r="H67" s="9"/>
      <c r="I67" s="9"/>
      <c r="J67" s="28"/>
      <c r="K67" s="28">
        <v>10000</v>
      </c>
      <c r="L67" s="28">
        <f>J67+K67</f>
        <v>10000</v>
      </c>
      <c r="M67" s="38">
        <v>7000</v>
      </c>
    </row>
    <row r="68" spans="1:13" ht="12.75">
      <c r="A68" s="45" t="s">
        <v>58</v>
      </c>
      <c r="B68" s="3"/>
      <c r="C68" s="3"/>
      <c r="D68" s="3"/>
      <c r="E68" s="3"/>
      <c r="F68" s="3"/>
      <c r="G68" s="5">
        <v>10642.5</v>
      </c>
      <c r="H68" s="9"/>
      <c r="I68" s="9"/>
      <c r="J68" s="28"/>
      <c r="K68" s="28">
        <v>8000</v>
      </c>
      <c r="L68" s="28">
        <f>J68+K68</f>
        <v>8000</v>
      </c>
      <c r="M68" s="28">
        <v>25000</v>
      </c>
    </row>
    <row r="69" spans="1:13" ht="12.75">
      <c r="A69" s="45" t="s">
        <v>59</v>
      </c>
      <c r="B69" s="3"/>
      <c r="C69" s="3"/>
      <c r="D69" s="3"/>
      <c r="E69" s="3"/>
      <c r="F69" s="3"/>
      <c r="G69" s="5"/>
      <c r="H69" s="9"/>
      <c r="I69" s="9"/>
      <c r="J69" s="28">
        <v>2000</v>
      </c>
      <c r="L69" s="28">
        <f>J69+K69</f>
        <v>2000</v>
      </c>
      <c r="M69" s="28">
        <v>1500</v>
      </c>
    </row>
    <row r="70" spans="1:13" ht="12.75">
      <c r="A70" s="45" t="s">
        <v>60</v>
      </c>
      <c r="B70" s="3"/>
      <c r="C70" s="3"/>
      <c r="D70" s="3"/>
      <c r="E70" s="3"/>
      <c r="F70" s="3"/>
      <c r="G70" s="5"/>
      <c r="H70" s="9"/>
      <c r="I70" s="9"/>
      <c r="J70" s="28"/>
      <c r="K70" s="28">
        <v>150000</v>
      </c>
      <c r="L70" s="28">
        <f>J70+K70</f>
        <v>150000</v>
      </c>
      <c r="M70" s="28">
        <v>276000</v>
      </c>
    </row>
    <row r="71" spans="1:13" ht="12.75">
      <c r="A71" s="45" t="s">
        <v>61</v>
      </c>
      <c r="B71" s="3"/>
      <c r="C71" s="3"/>
      <c r="D71" s="3"/>
      <c r="E71" s="3"/>
      <c r="F71" s="3"/>
      <c r="G71" s="5"/>
      <c r="H71" s="9"/>
      <c r="I71" s="9"/>
      <c r="J71" s="28"/>
      <c r="M71" s="28">
        <f>K71+L71</f>
        <v>0</v>
      </c>
    </row>
    <row r="72" spans="2:10" ht="12.75">
      <c r="B72" s="3"/>
      <c r="C72" s="3"/>
      <c r="D72" s="3"/>
      <c r="E72" s="3"/>
      <c r="F72" s="3"/>
      <c r="G72" s="5"/>
      <c r="H72" s="9"/>
      <c r="I72" s="9"/>
      <c r="J72" s="28"/>
    </row>
    <row r="73" spans="1:13" ht="12.75">
      <c r="A73" s="56" t="s">
        <v>44</v>
      </c>
      <c r="B73" s="3"/>
      <c r="C73" s="3"/>
      <c r="D73" s="3"/>
      <c r="E73" s="3"/>
      <c r="F73" s="3"/>
      <c r="G73" s="5"/>
      <c r="H73" s="9"/>
      <c r="I73" s="9"/>
      <c r="J73" s="28">
        <v>45000</v>
      </c>
      <c r="L73" s="28">
        <f>J73+K73</f>
        <v>45000</v>
      </c>
      <c r="M73" s="53">
        <v>42000</v>
      </c>
    </row>
    <row r="74" spans="2:10" ht="12.75">
      <c r="B74" s="3"/>
      <c r="C74" s="3"/>
      <c r="D74" s="3"/>
      <c r="E74" s="3"/>
      <c r="F74" s="3"/>
      <c r="G74" s="5"/>
      <c r="H74" s="9"/>
      <c r="I74" s="9"/>
      <c r="J74" s="28"/>
    </row>
    <row r="75" spans="1:13" ht="12.75">
      <c r="A75" s="49" t="s">
        <v>37</v>
      </c>
      <c r="B75" s="3"/>
      <c r="C75" s="3"/>
      <c r="D75" s="3"/>
      <c r="E75" s="3"/>
      <c r="F75" s="3"/>
      <c r="G75" s="5">
        <v>1812</v>
      </c>
      <c r="H75" s="9"/>
      <c r="I75" s="9"/>
      <c r="J75" s="28">
        <v>5000</v>
      </c>
      <c r="K75" s="28">
        <v>5000</v>
      </c>
      <c r="L75" s="28">
        <f>J75+K75</f>
        <v>10000</v>
      </c>
      <c r="M75" s="53">
        <v>5000</v>
      </c>
    </row>
    <row r="76" spans="1:10" ht="12.75">
      <c r="A76" s="49"/>
      <c r="B76" s="3"/>
      <c r="C76" s="3"/>
      <c r="D76" s="3"/>
      <c r="E76" s="3"/>
      <c r="F76" s="3"/>
      <c r="G76" s="5"/>
      <c r="H76" s="9"/>
      <c r="I76" s="9"/>
      <c r="J76" s="28"/>
    </row>
    <row r="77" spans="1:10" ht="12.75">
      <c r="A77" s="49"/>
      <c r="B77" s="3"/>
      <c r="C77" s="3"/>
      <c r="D77" s="3"/>
      <c r="E77" s="3"/>
      <c r="F77" s="3"/>
      <c r="G77" s="5"/>
      <c r="H77" s="9"/>
      <c r="I77" s="9"/>
      <c r="J77" s="28"/>
    </row>
    <row r="78" spans="1:13" ht="12.75">
      <c r="A78" s="49" t="s">
        <v>38</v>
      </c>
      <c r="B78" s="3"/>
      <c r="C78" s="3"/>
      <c r="D78" s="3"/>
      <c r="E78" s="3"/>
      <c r="F78" s="3"/>
      <c r="G78" s="5">
        <v>7354</v>
      </c>
      <c r="H78" s="9"/>
      <c r="I78" s="9"/>
      <c r="J78" s="28"/>
      <c r="K78" s="28">
        <v>15000</v>
      </c>
      <c r="L78" s="28">
        <f>J78+K78</f>
        <v>15000</v>
      </c>
      <c r="M78" s="53">
        <v>12000</v>
      </c>
    </row>
    <row r="79" spans="1:10" ht="12.75">
      <c r="A79" s="49"/>
      <c r="B79" s="3"/>
      <c r="C79" s="3"/>
      <c r="D79" s="3"/>
      <c r="E79" s="3"/>
      <c r="F79" s="3"/>
      <c r="G79" s="5"/>
      <c r="H79" s="9"/>
      <c r="I79" s="9"/>
      <c r="J79" s="28"/>
    </row>
    <row r="80" spans="1:13" ht="12.75">
      <c r="A80" s="49" t="s">
        <v>39</v>
      </c>
      <c r="B80" s="3"/>
      <c r="C80" s="3"/>
      <c r="D80" s="3"/>
      <c r="E80" s="3"/>
      <c r="F80" s="3"/>
      <c r="G80" s="5">
        <v>64942</v>
      </c>
      <c r="H80" s="9"/>
      <c r="I80" s="9"/>
      <c r="J80" s="28">
        <v>30000</v>
      </c>
      <c r="K80" s="28">
        <v>30000</v>
      </c>
      <c r="L80" s="28">
        <f>J80+K80</f>
        <v>60000</v>
      </c>
      <c r="M80" s="53">
        <v>31000</v>
      </c>
    </row>
    <row r="81" spans="1:10" ht="12.75">
      <c r="A81" s="49" t="s">
        <v>62</v>
      </c>
      <c r="B81" s="3"/>
      <c r="C81" s="3"/>
      <c r="D81" s="3"/>
      <c r="E81" s="3"/>
      <c r="F81" s="3"/>
      <c r="G81" s="5"/>
      <c r="H81" s="9"/>
      <c r="I81" s="9"/>
      <c r="J81" s="28"/>
    </row>
    <row r="82" spans="1:10" ht="12.75">
      <c r="A82" s="49"/>
      <c r="B82" s="3"/>
      <c r="C82" s="3"/>
      <c r="D82" s="3"/>
      <c r="E82" s="3"/>
      <c r="F82" s="3"/>
      <c r="G82" s="5"/>
      <c r="H82" s="9"/>
      <c r="I82" s="9"/>
      <c r="J82" s="28"/>
    </row>
    <row r="83" spans="1:13" ht="12.75">
      <c r="A83" s="49" t="s">
        <v>40</v>
      </c>
      <c r="B83" s="3"/>
      <c r="C83" s="3"/>
      <c r="D83" s="3"/>
      <c r="E83" s="3"/>
      <c r="F83" s="3"/>
      <c r="G83" s="5">
        <v>9824.5</v>
      </c>
      <c r="H83" s="9"/>
      <c r="I83" s="9"/>
      <c r="J83" s="28">
        <v>9000</v>
      </c>
      <c r="K83" s="39">
        <v>11000</v>
      </c>
      <c r="L83" s="28">
        <f>J83+K83</f>
        <v>20000</v>
      </c>
      <c r="M83" s="53">
        <v>22000</v>
      </c>
    </row>
    <row r="84" spans="1:10" ht="12.75">
      <c r="A84" s="49" t="s">
        <v>78</v>
      </c>
      <c r="B84" s="3"/>
      <c r="C84" s="3"/>
      <c r="D84" s="3"/>
      <c r="E84" s="3"/>
      <c r="F84" s="3"/>
      <c r="G84" s="5"/>
      <c r="H84" s="9"/>
      <c r="I84" s="9"/>
      <c r="J84" s="28"/>
    </row>
    <row r="85" spans="1:10" ht="12.75">
      <c r="A85" s="49"/>
      <c r="B85" s="3"/>
      <c r="C85" s="3"/>
      <c r="D85" s="3"/>
      <c r="E85" s="3"/>
      <c r="F85" s="3"/>
      <c r="G85" s="5"/>
      <c r="H85" s="9"/>
      <c r="I85" s="9"/>
      <c r="J85" s="28"/>
    </row>
    <row r="86" spans="1:13" ht="12.75">
      <c r="A86" s="57" t="s">
        <v>54</v>
      </c>
      <c r="B86" s="3"/>
      <c r="C86" s="3"/>
      <c r="D86" s="3"/>
      <c r="E86" s="3"/>
      <c r="F86" s="3"/>
      <c r="G86" s="5">
        <v>44536.5</v>
      </c>
      <c r="H86" s="9"/>
      <c r="I86" s="9"/>
      <c r="J86" s="28"/>
      <c r="K86" s="17">
        <v>33000</v>
      </c>
      <c r="L86" s="17">
        <f>J86+K86</f>
        <v>33000</v>
      </c>
      <c r="M86" s="68">
        <v>25000</v>
      </c>
    </row>
    <row r="87" spans="1:10" ht="12.75">
      <c r="A87" s="49"/>
      <c r="B87" s="3"/>
      <c r="C87" s="3"/>
      <c r="D87" s="3"/>
      <c r="E87" s="3"/>
      <c r="F87" s="3"/>
      <c r="G87" s="5"/>
      <c r="H87" s="9"/>
      <c r="I87" s="9"/>
      <c r="J87" s="28"/>
    </row>
    <row r="88" spans="1:10" ht="12.75">
      <c r="A88" s="49"/>
      <c r="B88" s="3"/>
      <c r="C88" s="3"/>
      <c r="D88" s="3"/>
      <c r="E88" s="3"/>
      <c r="F88" s="3"/>
      <c r="G88" s="5"/>
      <c r="H88" s="9"/>
      <c r="I88" s="9"/>
      <c r="J88" s="28"/>
    </row>
    <row r="89" spans="1:13" ht="12.75">
      <c r="A89" s="57" t="s">
        <v>55</v>
      </c>
      <c r="B89" s="3"/>
      <c r="C89" s="3"/>
      <c r="D89" s="3"/>
      <c r="E89" s="3"/>
      <c r="F89" s="3"/>
      <c r="G89" s="5">
        <v>3200</v>
      </c>
      <c r="H89" s="9"/>
      <c r="I89" s="9"/>
      <c r="J89" s="28"/>
      <c r="K89" s="17">
        <v>3000</v>
      </c>
      <c r="L89" s="17">
        <f>J89+K89</f>
        <v>3000</v>
      </c>
      <c r="M89" s="68">
        <v>3000</v>
      </c>
    </row>
    <row r="90" spans="1:15" s="20" customFormat="1" ht="12.75">
      <c r="A90" s="56" t="s">
        <v>27</v>
      </c>
      <c r="G90" s="22"/>
      <c r="H90" s="23"/>
      <c r="I90" s="23"/>
      <c r="J90" s="29"/>
      <c r="K90" s="29"/>
      <c r="L90" s="28"/>
      <c r="M90" s="73"/>
      <c r="N90" s="74"/>
      <c r="O90" s="73"/>
    </row>
    <row r="91" spans="1:10" ht="12.75">
      <c r="A91" s="49"/>
      <c r="B91" s="3"/>
      <c r="C91" s="3"/>
      <c r="D91" s="3"/>
      <c r="E91" s="3"/>
      <c r="F91" s="3"/>
      <c r="G91" s="5"/>
      <c r="H91" s="9"/>
      <c r="I91" s="9"/>
      <c r="J91" s="28"/>
    </row>
    <row r="92" spans="1:15" ht="12.75">
      <c r="A92" s="57" t="s">
        <v>68</v>
      </c>
      <c r="B92" s="3"/>
      <c r="C92" s="3"/>
      <c r="D92" s="3"/>
      <c r="E92" s="3"/>
      <c r="F92" s="3"/>
      <c r="G92" s="5">
        <v>495774</v>
      </c>
      <c r="H92" s="9"/>
      <c r="I92" s="9"/>
      <c r="J92" s="17">
        <f>ROUND(6281720,-3)</f>
        <v>6282000</v>
      </c>
      <c r="K92" s="17"/>
      <c r="L92" s="17">
        <f>J92</f>
        <v>6282000</v>
      </c>
      <c r="M92" s="68">
        <v>3436000</v>
      </c>
      <c r="O92" s="68"/>
    </row>
    <row r="93" spans="1:9" ht="12.75">
      <c r="A93" s="48" t="s">
        <v>64</v>
      </c>
      <c r="B93" s="3"/>
      <c r="C93" s="3"/>
      <c r="D93" s="3"/>
      <c r="E93" s="3"/>
      <c r="F93" s="3"/>
      <c r="G93" s="5"/>
      <c r="H93" s="9"/>
      <c r="I93" s="9"/>
    </row>
    <row r="94" spans="1:9" ht="12.75">
      <c r="A94" s="48" t="s">
        <v>65</v>
      </c>
      <c r="B94" s="3"/>
      <c r="C94" s="3"/>
      <c r="D94" s="3"/>
      <c r="E94" s="3"/>
      <c r="F94" s="3"/>
      <c r="G94" s="5"/>
      <c r="H94" s="9"/>
      <c r="I94" s="9"/>
    </row>
    <row r="95" spans="1:15" s="20" customFormat="1" ht="12.75">
      <c r="A95" s="48"/>
      <c r="G95" s="22"/>
      <c r="J95" s="40"/>
      <c r="K95" s="29"/>
      <c r="L95" s="28"/>
      <c r="M95" s="73"/>
      <c r="N95" s="74"/>
      <c r="O95" s="73"/>
    </row>
    <row r="96" spans="1:15" s="20" customFormat="1" ht="12.75">
      <c r="A96" s="85" t="s">
        <v>72</v>
      </c>
      <c r="G96" s="22"/>
      <c r="J96" s="40"/>
      <c r="K96" s="29"/>
      <c r="L96" s="28"/>
      <c r="M96" s="68">
        <v>387000</v>
      </c>
      <c r="N96" s="72"/>
      <c r="O96" s="71"/>
    </row>
    <row r="97" spans="1:15" s="20" customFormat="1" ht="12.75">
      <c r="A97" s="48" t="s">
        <v>71</v>
      </c>
      <c r="G97" s="22"/>
      <c r="J97" s="40"/>
      <c r="K97" s="29"/>
      <c r="L97" s="28"/>
      <c r="M97" s="73"/>
      <c r="N97" s="74"/>
      <c r="O97" s="73"/>
    </row>
    <row r="98" spans="1:15" s="20" customFormat="1" ht="12.75">
      <c r="A98" s="48"/>
      <c r="G98" s="22"/>
      <c r="J98" s="40"/>
      <c r="K98" s="29"/>
      <c r="L98" s="28"/>
      <c r="M98" s="73"/>
      <c r="N98" s="74"/>
      <c r="O98" s="73"/>
    </row>
    <row r="99" spans="1:12" ht="12.75">
      <c r="A99" s="57" t="s">
        <v>63</v>
      </c>
      <c r="B99" s="3"/>
      <c r="C99" s="3"/>
      <c r="D99" s="3"/>
      <c r="E99" s="3"/>
      <c r="F99" s="3"/>
      <c r="G99" s="12" t="e">
        <f>G29-G101</f>
        <v>#REF!</v>
      </c>
      <c r="H99" s="12"/>
      <c r="I99" s="12"/>
      <c r="L99" s="17"/>
    </row>
    <row r="100" spans="1:9" ht="12.75">
      <c r="A100" s="49"/>
      <c r="B100" s="3"/>
      <c r="C100" s="3"/>
      <c r="D100" s="3"/>
      <c r="E100" s="3"/>
      <c r="F100" s="3"/>
      <c r="G100" s="5"/>
      <c r="H100" s="9"/>
      <c r="I100" s="9"/>
    </row>
    <row r="101" spans="1:15" s="8" customFormat="1" ht="12.75">
      <c r="A101" s="57" t="s">
        <v>1</v>
      </c>
      <c r="B101" s="10"/>
      <c r="C101" s="10"/>
      <c r="D101" s="10"/>
      <c r="E101" s="10"/>
      <c r="F101" s="10"/>
      <c r="G101" s="7" t="e">
        <f>G33+G43</f>
        <v>#REF!</v>
      </c>
      <c r="H101" s="12"/>
      <c r="I101" s="12"/>
      <c r="J101" s="17">
        <f>SUM(J92,J43,J33)</f>
        <v>7194000</v>
      </c>
      <c r="K101" s="17">
        <f>ROUND(SUM(K33,K43,K86,K89),0)</f>
        <v>1485000</v>
      </c>
      <c r="L101" s="17">
        <f>J101+K101</f>
        <v>8679000</v>
      </c>
      <c r="M101" s="68">
        <f>SUM(M33+M43+M86+M89+M92+M96)</f>
        <v>5932000</v>
      </c>
      <c r="N101" s="75"/>
      <c r="O101" s="68"/>
    </row>
    <row r="102" spans="1:9" ht="12.75">
      <c r="A102" s="49"/>
      <c r="B102" s="3"/>
      <c r="C102" s="3"/>
      <c r="D102" s="3"/>
      <c r="E102" s="3"/>
      <c r="F102" s="3"/>
      <c r="G102" s="5"/>
      <c r="H102" s="9"/>
      <c r="I102" s="9"/>
    </row>
    <row r="103" spans="1:9" ht="12.75">
      <c r="A103" s="49"/>
      <c r="B103" s="3"/>
      <c r="C103" s="3"/>
      <c r="D103" s="3"/>
      <c r="E103" s="3"/>
      <c r="F103" s="3"/>
      <c r="G103" s="5"/>
      <c r="H103" s="9"/>
      <c r="I103" s="9"/>
    </row>
    <row r="104" spans="1:9" ht="12.75">
      <c r="A104" s="49"/>
      <c r="B104" s="3"/>
      <c r="C104" s="3"/>
      <c r="D104" s="3"/>
      <c r="E104" s="3"/>
      <c r="F104" s="3"/>
      <c r="G104" s="5"/>
      <c r="H104" s="9"/>
      <c r="I104" s="9"/>
    </row>
    <row r="105" spans="1:15" s="8" customFormat="1" ht="13.5" thickBot="1">
      <c r="A105" s="63" t="s">
        <v>41</v>
      </c>
      <c r="B105" s="16"/>
      <c r="C105" s="16"/>
      <c r="D105" s="16"/>
      <c r="E105" s="16"/>
      <c r="F105" s="16"/>
      <c r="G105" s="37" t="s">
        <v>36</v>
      </c>
      <c r="H105" s="12"/>
      <c r="I105" s="12"/>
      <c r="J105" s="46"/>
      <c r="K105" s="47"/>
      <c r="L105" s="47"/>
      <c r="M105" s="69"/>
      <c r="N105" s="75"/>
      <c r="O105" s="68"/>
    </row>
    <row r="106" spans="1:9" ht="12.75">
      <c r="A106" s="49"/>
      <c r="B106" s="3"/>
      <c r="C106" s="3"/>
      <c r="D106" s="3"/>
      <c r="E106" s="3"/>
      <c r="F106" s="3"/>
      <c r="G106" s="5"/>
      <c r="H106" s="9"/>
      <c r="I106" s="9"/>
    </row>
    <row r="107" spans="1:9" ht="15.75">
      <c r="A107" s="57" t="s">
        <v>2</v>
      </c>
      <c r="B107" s="3"/>
      <c r="C107" s="3"/>
      <c r="D107" s="3"/>
      <c r="E107" s="3"/>
      <c r="F107" s="3"/>
      <c r="G107" s="21"/>
      <c r="H107" s="9"/>
      <c r="I107" s="9"/>
    </row>
    <row r="108" spans="1:9" ht="12.75">
      <c r="A108" s="49"/>
      <c r="B108" s="3"/>
      <c r="C108" s="3"/>
      <c r="D108" s="3"/>
      <c r="E108" s="3"/>
      <c r="F108" s="3"/>
      <c r="G108" s="5"/>
      <c r="H108" s="9"/>
      <c r="I108" s="9"/>
    </row>
    <row r="109" spans="1:15" s="8" customFormat="1" ht="12.75">
      <c r="A109" s="57" t="s">
        <v>3</v>
      </c>
      <c r="B109" s="10"/>
      <c r="C109" s="10"/>
      <c r="D109" s="10"/>
      <c r="E109" s="10"/>
      <c r="F109" s="10"/>
      <c r="G109" s="7">
        <f>G29</f>
        <v>1697343.02</v>
      </c>
      <c r="H109" s="12"/>
      <c r="I109" s="12"/>
      <c r="J109" s="41">
        <f>J29</f>
        <v>7343000</v>
      </c>
      <c r="K109" s="17">
        <f>K29</f>
        <v>1336000</v>
      </c>
      <c r="L109" s="17">
        <f>L29</f>
        <v>8679000</v>
      </c>
      <c r="M109" s="68">
        <v>6465000</v>
      </c>
      <c r="N109" s="75"/>
      <c r="O109" s="68"/>
    </row>
    <row r="110" spans="1:9" ht="12.75">
      <c r="A110" s="57"/>
      <c r="B110" s="3"/>
      <c r="C110" s="3"/>
      <c r="D110" s="3"/>
      <c r="E110" s="3"/>
      <c r="F110" s="3"/>
      <c r="G110" s="17"/>
      <c r="H110" s="12"/>
      <c r="I110" s="12"/>
    </row>
    <row r="111" spans="1:13" ht="12.75">
      <c r="A111" s="57" t="s">
        <v>4</v>
      </c>
      <c r="B111" s="3"/>
      <c r="C111" s="3"/>
      <c r="D111" s="3"/>
      <c r="E111" s="3"/>
      <c r="F111" s="3"/>
      <c r="G111" s="7" t="e">
        <f>G101</f>
        <v>#REF!</v>
      </c>
      <c r="H111" s="12"/>
      <c r="I111" s="12"/>
      <c r="J111" s="41">
        <f>J101</f>
        <v>7194000</v>
      </c>
      <c r="K111" s="41">
        <f>K101</f>
        <v>1485000</v>
      </c>
      <c r="L111" s="17">
        <f>L101</f>
        <v>8679000</v>
      </c>
      <c r="M111" s="68">
        <v>5932000</v>
      </c>
    </row>
    <row r="112" spans="1:9" ht="12.75">
      <c r="A112" s="57"/>
      <c r="B112" s="3"/>
      <c r="C112" s="3"/>
      <c r="D112" s="3"/>
      <c r="E112" s="3"/>
      <c r="F112" s="3"/>
      <c r="G112" s="17"/>
      <c r="H112" s="12"/>
      <c r="I112" s="12"/>
    </row>
    <row r="113" spans="1:13" ht="12.75">
      <c r="A113" s="57" t="s">
        <v>63</v>
      </c>
      <c r="B113" s="3"/>
      <c r="C113" s="3"/>
      <c r="D113" s="3"/>
      <c r="E113" s="3"/>
      <c r="F113" s="3"/>
      <c r="G113" s="12" t="e">
        <f>G43-G115</f>
        <v>#REF!</v>
      </c>
      <c r="H113" s="12"/>
      <c r="I113" s="12"/>
      <c r="J113" s="41"/>
      <c r="K113" s="17"/>
      <c r="L113" s="17">
        <v>496000</v>
      </c>
      <c r="M113" s="68">
        <f>SUM(M109-M111)</f>
        <v>533000</v>
      </c>
    </row>
    <row r="114" spans="1:9" ht="12.75">
      <c r="A114" s="57"/>
      <c r="B114" s="3"/>
      <c r="C114" s="3"/>
      <c r="D114" s="3"/>
      <c r="E114" s="3"/>
      <c r="F114" s="3"/>
      <c r="G114" s="12"/>
      <c r="H114" s="12"/>
      <c r="I114" s="12"/>
    </row>
    <row r="115" spans="1:9" ht="12.75">
      <c r="A115" s="57"/>
      <c r="B115" s="3"/>
      <c r="C115" s="3"/>
      <c r="D115" s="3"/>
      <c r="E115" s="3"/>
      <c r="F115" s="3"/>
      <c r="G115" s="12"/>
      <c r="H115" s="12"/>
      <c r="I115" s="12"/>
    </row>
    <row r="116" spans="1:9" ht="12.75">
      <c r="A116" s="57"/>
      <c r="B116" s="3"/>
      <c r="C116" s="3"/>
      <c r="D116" s="3"/>
      <c r="E116" s="3"/>
      <c r="F116" s="3"/>
      <c r="G116" s="12"/>
      <c r="H116" s="12"/>
      <c r="I116" s="12"/>
    </row>
    <row r="117" spans="1:9" ht="12.75">
      <c r="A117" s="57"/>
      <c r="B117" s="3"/>
      <c r="C117" s="3"/>
      <c r="D117" s="3"/>
      <c r="E117" s="3"/>
      <c r="F117" s="3"/>
      <c r="G117" s="12"/>
      <c r="H117" s="12"/>
      <c r="I117" s="12"/>
    </row>
    <row r="118" spans="1:9" ht="12.75">
      <c r="A118" s="49"/>
      <c r="B118" s="3"/>
      <c r="C118" s="3"/>
      <c r="D118" s="3"/>
      <c r="E118" s="3"/>
      <c r="F118" s="3"/>
      <c r="G118" s="5"/>
      <c r="H118" s="9"/>
      <c r="I118" s="9"/>
    </row>
    <row r="119" spans="1:7" ht="12.75">
      <c r="A119" s="57" t="s">
        <v>73</v>
      </c>
      <c r="B119" s="3"/>
      <c r="C119" s="3"/>
      <c r="D119" s="3"/>
      <c r="E119" s="3"/>
      <c r="F119" s="3"/>
      <c r="G119" s="12"/>
    </row>
    <row r="120" spans="1:7" ht="12.75">
      <c r="A120" s="64" t="s">
        <v>74</v>
      </c>
      <c r="G120" s="5"/>
    </row>
    <row r="121" spans="1:9" ht="13.5" thickBot="1">
      <c r="A121" s="63" t="s">
        <v>81</v>
      </c>
      <c r="B121" s="6"/>
      <c r="C121" s="6"/>
      <c r="D121" s="6"/>
      <c r="E121" s="6"/>
      <c r="F121" s="6"/>
      <c r="G121" s="18"/>
      <c r="H121" s="9"/>
      <c r="I121" s="9"/>
    </row>
    <row r="122" spans="1:9" ht="12.75">
      <c r="A122" s="49"/>
      <c r="B122" s="3"/>
      <c r="C122" s="3"/>
      <c r="D122" s="3"/>
      <c r="E122" s="3"/>
      <c r="F122" s="3"/>
      <c r="G122" s="3"/>
      <c r="H122" s="9"/>
      <c r="I122" s="9"/>
    </row>
    <row r="123" spans="1:9" ht="12.75">
      <c r="A123" s="57" t="s">
        <v>33</v>
      </c>
      <c r="B123" s="10"/>
      <c r="C123" s="10"/>
      <c r="D123" s="10"/>
      <c r="E123" s="3"/>
      <c r="F123" s="10"/>
      <c r="G123" s="12"/>
      <c r="H123" s="9"/>
      <c r="I123" s="9"/>
    </row>
    <row r="124" spans="1:7" ht="12.75">
      <c r="A124" s="49"/>
      <c r="B124" s="3"/>
      <c r="C124" s="3"/>
      <c r="D124" s="3"/>
      <c r="E124" s="3"/>
      <c r="F124" s="3"/>
      <c r="G124" s="7"/>
    </row>
    <row r="125" ht="12.75">
      <c r="G125" s="5"/>
    </row>
    <row r="126" ht="12.75">
      <c r="A126" s="65" t="s">
        <v>34</v>
      </c>
    </row>
    <row r="127" ht="12.75">
      <c r="A127" s="45" t="s">
        <v>35</v>
      </c>
    </row>
    <row r="128" ht="12.75">
      <c r="A128" s="45" t="s">
        <v>5</v>
      </c>
    </row>
    <row r="129" ht="12.75">
      <c r="A129" s="45" t="s">
        <v>6</v>
      </c>
    </row>
    <row r="131" ht="12.75">
      <c r="A131" s="65" t="s">
        <v>11</v>
      </c>
    </row>
    <row r="132" ht="12.75">
      <c r="A132" s="45" t="s">
        <v>12</v>
      </c>
    </row>
    <row r="133" ht="12.75">
      <c r="A133" s="45" t="s">
        <v>7</v>
      </c>
    </row>
    <row r="134" ht="12.75">
      <c r="A134" s="45" t="s">
        <v>10</v>
      </c>
    </row>
    <row r="135" ht="12.75">
      <c r="A135" s="45" t="s">
        <v>8</v>
      </c>
    </row>
  </sheetData>
  <sheetProtection/>
  <mergeCells count="1">
    <mergeCell ref="A1:F1"/>
  </mergeCells>
  <printOptions/>
  <pageMargins left="1" right="1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27.625" style="0" customWidth="1"/>
    <col min="3" max="3" width="56.375" style="0" customWidth="1"/>
  </cols>
  <sheetData>
    <row r="1" ht="14.25">
      <c r="B1" s="30"/>
    </row>
    <row r="2" ht="15" thickBot="1">
      <c r="B2" s="31"/>
    </row>
    <row r="3" spans="2:3" ht="14.25">
      <c r="B3" s="32">
        <v>320000</v>
      </c>
      <c r="C3" s="109"/>
    </row>
    <row r="4" spans="2:3" ht="14.25">
      <c r="B4" s="33">
        <v>240000</v>
      </c>
      <c r="C4" s="110"/>
    </row>
    <row r="5" spans="2:4" ht="15" thickBot="1">
      <c r="B5" s="34">
        <v>240000</v>
      </c>
      <c r="C5" s="111"/>
      <c r="D5">
        <f>C3*12</f>
        <v>0</v>
      </c>
    </row>
    <row r="6" spans="2:3" ht="15" thickBot="1">
      <c r="B6" s="34">
        <f>12*14500</f>
        <v>174000</v>
      </c>
      <c r="C6" s="35"/>
    </row>
    <row r="7" spans="2:3" ht="15" thickBot="1">
      <c r="B7" s="34"/>
      <c r="C7" s="35"/>
    </row>
    <row r="8" spans="2:3" ht="15" thickBot="1">
      <c r="B8" s="34">
        <f>15500*6</f>
        <v>93000</v>
      </c>
      <c r="C8" s="35"/>
    </row>
    <row r="9" spans="2:3" ht="15" thickBot="1">
      <c r="B9" s="34">
        <f>SUM(B6,B8,B5,B4,B3)</f>
        <v>1067000</v>
      </c>
      <c r="C9" s="35">
        <f>B9*1.35</f>
        <v>1440450</v>
      </c>
    </row>
    <row r="10" spans="2:3" ht="15" thickBot="1">
      <c r="B10" s="34"/>
      <c r="C10" s="35">
        <f>B9*0.09</f>
        <v>96030</v>
      </c>
    </row>
    <row r="11" spans="2:3" ht="15" thickBot="1">
      <c r="B11" s="34">
        <f>(B4+B5*1.35)*0.75</f>
        <v>423000</v>
      </c>
      <c r="C11" s="35"/>
    </row>
    <row r="12" spans="2:3" ht="15" thickBot="1">
      <c r="B12" s="34"/>
      <c r="C12" s="35">
        <f>55*0.55*251*2*0.75</f>
        <v>11389.125000000002</v>
      </c>
    </row>
    <row r="13" ht="14.25">
      <c r="B13" s="31"/>
    </row>
    <row r="14" ht="12.75">
      <c r="B14">
        <f>55*0.55*251*4</f>
        <v>30371.000000000004</v>
      </c>
    </row>
    <row r="15" ht="12.75">
      <c r="B15">
        <f>3500*12</f>
        <v>42000</v>
      </c>
    </row>
  </sheetData>
  <sheetProtection/>
  <mergeCells count="1">
    <mergeCell ref="C3:C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Elbe/Labe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Valued Acer Customer</cp:lastModifiedBy>
  <cp:lastPrinted>2009-02-16T09:11:58Z</cp:lastPrinted>
  <dcterms:created xsi:type="dcterms:W3CDTF">2001-02-22T14:27:19Z</dcterms:created>
  <dcterms:modified xsi:type="dcterms:W3CDTF">2009-03-04T11:34:21Z</dcterms:modified>
  <cp:category/>
  <cp:version/>
  <cp:contentType/>
  <cp:contentStatus/>
</cp:coreProperties>
</file>